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5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6.xml" ContentType="application/vnd.openxmlformats-officedocument.drawing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4" yWindow="814" windowWidth="15189" windowHeight="6111" tabRatio="888"/>
  </bookViews>
  <sheets>
    <sheet name="Tab 1-16-A Fysioterapitilbud" sheetId="45" r:id="rId1"/>
    <sheet name="Tab 1-16-B Psykologer i byd." sheetId="46" r:id="rId2"/>
    <sheet name="Tab_3_1_B-A1-A7-Alder-beboere" sheetId="1" r:id="rId3"/>
    <sheet name="Tab_3_2_-_Ventetid" sheetId="3" r:id="rId4"/>
    <sheet name="Tab_3_2-B-saksbeh_tider" sheetId="4" r:id="rId5"/>
    <sheet name="Tab_3-2-c-UTSKR_KLARE_PAS_" sheetId="29" r:id="rId6"/>
    <sheet name="Tab_3-2-D-søkn_avsl_sykehj_pl" sheetId="28" r:id="rId7"/>
    <sheet name="Tab_3-2-E-klager_etter_avslag" sheetId="27" r:id="rId8"/>
    <sheet name="Tab 3-2-E-1 Saksbeh.tid klager" sheetId="30" r:id="rId9"/>
    <sheet name="Tab_3-2-F-alt_tilb" sheetId="26" r:id="rId10"/>
    <sheet name="Tab_3-3-B_oppholdsdøgn" sheetId="10" r:id="rId11"/>
    <sheet name="Tab_3-3-C_opphdøgn_type_opphol" sheetId="11" r:id="rId12"/>
    <sheet name="Tab_3-4-Egenbet__i_inst_-HMS" sheetId="31" r:id="rId13"/>
    <sheet name="Tab_3_5_-_hjemmetjenester" sheetId="13" r:id="rId14"/>
    <sheet name="3-5A-2 Pb+hj.skp+avl. og oms.l" sheetId="42" r:id="rId15"/>
    <sheet name="Tab_3_5B_-_Ant__vedtakstimer" sheetId="14" r:id="rId16"/>
    <sheet name="Tab 3-5C hverdagsrehabilitering" sheetId="43" r:id="rId17"/>
    <sheet name="Tab_3_6_-_andel_mottakere_hj_tj" sheetId="15" r:id="rId18"/>
    <sheet name="Tab3-7-saksb_tid-hjemmetjen" sheetId="16" r:id="rId19"/>
    <sheet name="3-7 Kvalitet hj.tj" sheetId="32" r:id="rId20"/>
    <sheet name="Tab_3-8-A_dagsenter" sheetId="18" r:id="rId21"/>
    <sheet name="Tab 3-8-A-2 Dagakt.-demente" sheetId="44" r:id="rId22"/>
    <sheet name="3-8-B Trygghetsalarmer" sheetId="33" r:id="rId23"/>
    <sheet name="3-8-C Ernæringskartlegging" sheetId="48" r:id="rId24"/>
    <sheet name="Tab_3_9_-_omsorgsboliger" sheetId="19" r:id="rId25"/>
    <sheet name="Tab_3_9_B Søkn omsorg+" sheetId="37" r:id="rId26"/>
    <sheet name="Tab_3_9_C Klager omsorg+" sheetId="36" r:id="rId27"/>
    <sheet name="Tab_3-10-personer_med_utv_h_" sheetId="35" r:id="rId28"/>
    <sheet name="Tab_3-11-boforhold_for_utv_h_" sheetId="34" r:id="rId29"/>
    <sheet name="Tab_3-12-akt__for_psyk_utv_h_" sheetId="40" r:id="rId30"/>
    <sheet name="Tab_3-14-eldresentre_m_v_" sheetId="39" r:id="rId31"/>
    <sheet name="Tab 3-14-C Seniorveiledertjenes" sheetId="38" r:id="rId32"/>
    <sheet name="kriteriebefolkning" sheetId="24" r:id="rId33"/>
  </sheets>
  <externalReferences>
    <externalReference r:id="rId34"/>
    <externalReference r:id="rId35"/>
    <externalReference r:id="rId36"/>
    <externalReference r:id="rId37"/>
  </externalReferences>
  <definedNames>
    <definedName name="tall1">'[1]MAL2T-2003B_XLS'!$G$7:$G$731</definedName>
    <definedName name="_xlnm.Print_Area" localSheetId="14">'3-5A-2 Pb+hj.skp+avl. og oms.l'!$A$1:$L$25</definedName>
    <definedName name="_xlnm.Print_Area" localSheetId="32">kriteriebefolkning!$A$1:$U$23</definedName>
    <definedName name="_xlnm.Print_Area" localSheetId="6">'Tab_3-2-D-søkn_avsl_sykehj_pl'!$A$7:$R$59</definedName>
    <definedName name="_xlnm.Print_Area" localSheetId="11">'Tab_3-3-C_opphdøgn_type_opphol'!$A$1:$P$143</definedName>
  </definedNames>
  <calcPr calcId="145621"/>
</workbook>
</file>

<file path=xl/calcChain.xml><?xml version="1.0" encoding="utf-8"?>
<calcChain xmlns="http://schemas.openxmlformats.org/spreadsheetml/2006/main">
  <c r="G26" i="35" l="1"/>
  <c r="J25" i="29" l="1"/>
  <c r="K25" i="29"/>
  <c r="I25" i="29"/>
  <c r="G25" i="29"/>
  <c r="D25" i="29"/>
  <c r="A3" i="33" l="1"/>
  <c r="AD10" i="13" l="1"/>
  <c r="S34" i="24" l="1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 s="1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 s="1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B32" i="24" s="1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C31" i="24"/>
  <c r="B31" i="24" s="1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C30" i="24"/>
  <c r="B30" i="24" s="1"/>
  <c r="S29" i="24"/>
  <c r="S35" i="24" s="1"/>
  <c r="R29" i="24"/>
  <c r="R35" i="24" s="1"/>
  <c r="Q29" i="24"/>
  <c r="Q35" i="24" s="1"/>
  <c r="P29" i="24"/>
  <c r="P35" i="24" s="1"/>
  <c r="O29" i="24"/>
  <c r="O35" i="24" s="1"/>
  <c r="N29" i="24"/>
  <c r="N35" i="24" s="1"/>
  <c r="M29" i="24"/>
  <c r="M35" i="24" s="1"/>
  <c r="L29" i="24"/>
  <c r="L35" i="24" s="1"/>
  <c r="K29" i="24"/>
  <c r="K35" i="24" s="1"/>
  <c r="J29" i="24"/>
  <c r="J35" i="24" s="1"/>
  <c r="I29" i="24"/>
  <c r="I35" i="24" s="1"/>
  <c r="H29" i="24"/>
  <c r="H35" i="24" s="1"/>
  <c r="G29" i="24"/>
  <c r="G35" i="24" s="1"/>
  <c r="F29" i="24"/>
  <c r="F35" i="24" s="1"/>
  <c r="E29" i="24"/>
  <c r="E35" i="24" s="1"/>
  <c r="D29" i="24"/>
  <c r="D35" i="24" s="1"/>
  <c r="C29" i="24"/>
  <c r="C35" i="24" s="1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C26" i="24"/>
  <c r="B26" i="24" s="1"/>
  <c r="B23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B20" i="24" s="1"/>
  <c r="C20" i="24"/>
  <c r="AA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B19" i="24" s="1"/>
  <c r="AA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B18" i="24"/>
  <c r="AA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B17" i="24" s="1"/>
  <c r="AA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B16" i="24" s="1"/>
  <c r="C16" i="24"/>
  <c r="AA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B15" i="24" s="1"/>
  <c r="AA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AA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B13" i="24" s="1"/>
  <c r="AA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B12" i="24" s="1"/>
  <c r="C12" i="24"/>
  <c r="AA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B11" i="24" s="1"/>
  <c r="AA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AA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D9" i="24"/>
  <c r="C9" i="24"/>
  <c r="B9" i="24" s="1"/>
  <c r="AA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B8" i="24" s="1"/>
  <c r="C8" i="24"/>
  <c r="AA7" i="24"/>
  <c r="S7" i="24"/>
  <c r="R7" i="24"/>
  <c r="Q7" i="24"/>
  <c r="P7" i="24"/>
  <c r="O7" i="24"/>
  <c r="N7" i="24"/>
  <c r="M7" i="24"/>
  <c r="L7" i="24"/>
  <c r="K7" i="24"/>
  <c r="J7" i="24"/>
  <c r="I7" i="24"/>
  <c r="H7" i="24"/>
  <c r="G7" i="24"/>
  <c r="F7" i="24"/>
  <c r="E7" i="24"/>
  <c r="D7" i="24"/>
  <c r="C7" i="24"/>
  <c r="B7" i="24" s="1"/>
  <c r="AA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C6" i="24"/>
  <c r="B6" i="24"/>
  <c r="AA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 s="1"/>
  <c r="Z4" i="24"/>
  <c r="Y4" i="24"/>
  <c r="X4" i="24"/>
  <c r="W4" i="24"/>
  <c r="V4" i="24"/>
  <c r="U4" i="24"/>
  <c r="AA4" i="24" s="1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B4" i="24" l="1"/>
  <c r="B35" i="24"/>
  <c r="B29" i="24"/>
  <c r="D22" i="38" l="1"/>
  <c r="C22" i="38"/>
  <c r="J10" i="37"/>
  <c r="D22" i="48"/>
  <c r="C22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E7" i="48"/>
  <c r="E22" i="48" l="1"/>
  <c r="C53" i="14" l="1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I24" i="42" l="1"/>
  <c r="O24" i="13" l="1"/>
  <c r="O23" i="13"/>
  <c r="O22" i="13"/>
  <c r="O21" i="13"/>
  <c r="O20" i="13"/>
  <c r="I24" i="13"/>
  <c r="I23" i="13"/>
  <c r="I22" i="13"/>
  <c r="I21" i="13"/>
  <c r="I19" i="13"/>
  <c r="I18" i="13"/>
  <c r="I17" i="13"/>
  <c r="I16" i="13"/>
  <c r="I15" i="13"/>
  <c r="I14" i="13"/>
  <c r="I13" i="13"/>
  <c r="I12" i="13"/>
  <c r="I11" i="13"/>
  <c r="I10" i="13"/>
  <c r="C24" i="13"/>
  <c r="C23" i="13"/>
  <c r="C22" i="13"/>
  <c r="C21" i="13"/>
  <c r="C20" i="13"/>
  <c r="C19" i="13"/>
  <c r="C18" i="13"/>
  <c r="C17" i="13"/>
  <c r="C15" i="13"/>
  <c r="C13" i="13"/>
  <c r="C12" i="13"/>
  <c r="C11" i="13"/>
  <c r="C10" i="13"/>
  <c r="S25" i="31"/>
  <c r="J10" i="28" l="1"/>
  <c r="J11" i="28"/>
  <c r="J12" i="28"/>
  <c r="J13" i="28"/>
  <c r="J14" i="28"/>
  <c r="J15" i="28"/>
  <c r="J16" i="28"/>
  <c r="H22" i="40" l="1"/>
  <c r="G22" i="40"/>
  <c r="F22" i="40"/>
  <c r="E22" i="40"/>
  <c r="D22" i="40"/>
  <c r="C22" i="40"/>
  <c r="H11" i="40" l="1"/>
  <c r="H12" i="40"/>
  <c r="H13" i="40"/>
  <c r="H14" i="40"/>
  <c r="H15" i="40"/>
  <c r="H16" i="40"/>
  <c r="H17" i="40"/>
  <c r="H18" i="40"/>
  <c r="H19" i="40"/>
  <c r="H20" i="40"/>
  <c r="H21" i="40"/>
  <c r="H23" i="40"/>
  <c r="H24" i="40"/>
  <c r="H25" i="40"/>
  <c r="O26" i="35" l="1"/>
  <c r="I26" i="35"/>
  <c r="H26" i="35"/>
  <c r="E26" i="35"/>
  <c r="D26" i="35"/>
  <c r="C26" i="35"/>
  <c r="N25" i="35"/>
  <c r="P25" i="35" s="1"/>
  <c r="J25" i="35"/>
  <c r="F25" i="35"/>
  <c r="N24" i="35"/>
  <c r="P24" i="35" s="1"/>
  <c r="J24" i="35"/>
  <c r="F24" i="35"/>
  <c r="N23" i="35"/>
  <c r="P23" i="35" s="1"/>
  <c r="J23" i="35"/>
  <c r="F23" i="35"/>
  <c r="N22" i="35"/>
  <c r="P22" i="35" s="1"/>
  <c r="J22" i="35"/>
  <c r="F22" i="35"/>
  <c r="N21" i="35"/>
  <c r="P21" i="35" s="1"/>
  <c r="J21" i="35"/>
  <c r="F21" i="35"/>
  <c r="N20" i="35"/>
  <c r="P20" i="35" s="1"/>
  <c r="J20" i="35"/>
  <c r="F20" i="35"/>
  <c r="N19" i="35"/>
  <c r="P19" i="35" s="1"/>
  <c r="J19" i="35"/>
  <c r="F19" i="35"/>
  <c r="N18" i="35"/>
  <c r="P18" i="35" s="1"/>
  <c r="J18" i="35"/>
  <c r="F18" i="35"/>
  <c r="N17" i="35"/>
  <c r="P17" i="35" s="1"/>
  <c r="J17" i="35"/>
  <c r="F17" i="35"/>
  <c r="N16" i="35"/>
  <c r="P16" i="35" s="1"/>
  <c r="J16" i="35"/>
  <c r="F16" i="35"/>
  <c r="N15" i="35"/>
  <c r="P15" i="35" s="1"/>
  <c r="J15" i="35"/>
  <c r="F15" i="35"/>
  <c r="N14" i="35"/>
  <c r="P14" i="35" s="1"/>
  <c r="J14" i="35"/>
  <c r="F14" i="35"/>
  <c r="N13" i="35"/>
  <c r="P13" i="35" s="1"/>
  <c r="J13" i="35"/>
  <c r="F13" i="35"/>
  <c r="N12" i="35"/>
  <c r="P12" i="35" s="1"/>
  <c r="J12" i="35"/>
  <c r="F12" i="35"/>
  <c r="N11" i="35"/>
  <c r="J11" i="35"/>
  <c r="F11" i="35"/>
  <c r="A4" i="35"/>
  <c r="N26" i="35" l="1"/>
  <c r="J26" i="35"/>
  <c r="F26" i="35"/>
  <c r="P11" i="35"/>
  <c r="P26" i="35" s="1"/>
  <c r="G24" i="4" l="1"/>
  <c r="L25" i="18" l="1"/>
  <c r="F22" i="15" l="1"/>
  <c r="L22" i="15" s="1"/>
  <c r="F9" i="15"/>
  <c r="L9" i="15" s="1"/>
  <c r="F10" i="15"/>
  <c r="L10" i="15" s="1"/>
  <c r="F11" i="15"/>
  <c r="L11" i="15" s="1"/>
  <c r="F12" i="15"/>
  <c r="F13" i="15"/>
  <c r="L13" i="15" s="1"/>
  <c r="F14" i="15"/>
  <c r="L14" i="15" s="1"/>
  <c r="F15" i="15"/>
  <c r="L15" i="15" s="1"/>
  <c r="F16" i="15"/>
  <c r="F17" i="15"/>
  <c r="L17" i="15" s="1"/>
  <c r="F18" i="15"/>
  <c r="L18" i="15" s="1"/>
  <c r="F19" i="15"/>
  <c r="L19" i="15" s="1"/>
  <c r="F20" i="15"/>
  <c r="F21" i="15"/>
  <c r="L21" i="15" s="1"/>
  <c r="F8" i="15"/>
  <c r="L8" i="15" s="1"/>
  <c r="E9" i="15"/>
  <c r="K9" i="15" s="1"/>
  <c r="E10" i="15"/>
  <c r="K10" i="15" s="1"/>
  <c r="E11" i="15"/>
  <c r="K11" i="15" s="1"/>
  <c r="E12" i="15"/>
  <c r="K12" i="15" s="1"/>
  <c r="E13" i="15"/>
  <c r="K13" i="15" s="1"/>
  <c r="E14" i="15"/>
  <c r="K14" i="15" s="1"/>
  <c r="E15" i="15"/>
  <c r="K15" i="15" s="1"/>
  <c r="E16" i="15"/>
  <c r="K16" i="15" s="1"/>
  <c r="E17" i="15"/>
  <c r="K17" i="15" s="1"/>
  <c r="E18" i="15"/>
  <c r="K18" i="15" s="1"/>
  <c r="E19" i="15"/>
  <c r="K19" i="15" s="1"/>
  <c r="E20" i="15"/>
  <c r="K20" i="15" s="1"/>
  <c r="E21" i="15"/>
  <c r="K21" i="15" s="1"/>
  <c r="E22" i="15"/>
  <c r="K22" i="15" s="1"/>
  <c r="E8" i="15"/>
  <c r="K8" i="15" s="1"/>
  <c r="D9" i="15"/>
  <c r="D10" i="15"/>
  <c r="D11" i="15"/>
  <c r="D12" i="15"/>
  <c r="J12" i="15" s="1"/>
  <c r="D13" i="15"/>
  <c r="D14" i="15"/>
  <c r="D15" i="15"/>
  <c r="D16" i="15"/>
  <c r="J16" i="15" s="1"/>
  <c r="D17" i="15"/>
  <c r="D18" i="15"/>
  <c r="D19" i="15"/>
  <c r="D20" i="15"/>
  <c r="J20" i="15" s="1"/>
  <c r="D21" i="15"/>
  <c r="D22" i="15"/>
  <c r="D8" i="15"/>
  <c r="C9" i="15"/>
  <c r="I9" i="15" s="1"/>
  <c r="C10" i="15"/>
  <c r="I10" i="15" s="1"/>
  <c r="C11" i="15"/>
  <c r="I11" i="15" s="1"/>
  <c r="C12" i="15"/>
  <c r="I12" i="15" s="1"/>
  <c r="C13" i="15"/>
  <c r="I13" i="15" s="1"/>
  <c r="C14" i="15"/>
  <c r="I14" i="15" s="1"/>
  <c r="C15" i="15"/>
  <c r="I15" i="15" s="1"/>
  <c r="C16" i="15"/>
  <c r="I16" i="15" s="1"/>
  <c r="C17" i="15"/>
  <c r="I17" i="15" s="1"/>
  <c r="C18" i="15"/>
  <c r="I18" i="15" s="1"/>
  <c r="C19" i="15"/>
  <c r="I19" i="15" s="1"/>
  <c r="C20" i="15"/>
  <c r="I20" i="15" s="1"/>
  <c r="C21" i="15"/>
  <c r="I21" i="15" s="1"/>
  <c r="C22" i="15"/>
  <c r="I22" i="15" s="1"/>
  <c r="C8" i="15"/>
  <c r="I8" i="15" s="1"/>
  <c r="H22" i="15" l="1"/>
  <c r="N22" i="15" s="1"/>
  <c r="J22" i="15"/>
  <c r="H18" i="15"/>
  <c r="N18" i="15" s="1"/>
  <c r="J18" i="15"/>
  <c r="H14" i="15"/>
  <c r="N14" i="15" s="1"/>
  <c r="J14" i="15"/>
  <c r="H10" i="15"/>
  <c r="N10" i="15" s="1"/>
  <c r="J10" i="15"/>
  <c r="H21" i="15"/>
  <c r="N21" i="15" s="1"/>
  <c r="J21" i="15"/>
  <c r="H13" i="15"/>
  <c r="N13" i="15" s="1"/>
  <c r="J13" i="15"/>
  <c r="H9" i="15"/>
  <c r="N9" i="15" s="1"/>
  <c r="J9" i="15"/>
  <c r="H17" i="15"/>
  <c r="N17" i="15" s="1"/>
  <c r="J17" i="15"/>
  <c r="H8" i="15"/>
  <c r="N8" i="15" s="1"/>
  <c r="J8" i="15"/>
  <c r="H19" i="15"/>
  <c r="N19" i="15" s="1"/>
  <c r="J19" i="15"/>
  <c r="H15" i="15"/>
  <c r="N15" i="15" s="1"/>
  <c r="J15" i="15"/>
  <c r="H11" i="15"/>
  <c r="N11" i="15" s="1"/>
  <c r="J11" i="15"/>
  <c r="H20" i="15"/>
  <c r="N20" i="15" s="1"/>
  <c r="L20" i="15"/>
  <c r="H16" i="15"/>
  <c r="N16" i="15" s="1"/>
  <c r="L16" i="15"/>
  <c r="H12" i="15"/>
  <c r="N12" i="15" s="1"/>
  <c r="L12" i="15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AG25" i="13" l="1"/>
  <c r="AJ27" i="13"/>
  <c r="I25" i="42" l="1"/>
  <c r="D23" i="42"/>
  <c r="E23" i="42"/>
  <c r="F23" i="42"/>
  <c r="G23" i="42"/>
  <c r="H23" i="42"/>
  <c r="C23" i="42"/>
  <c r="F24" i="4" l="1"/>
  <c r="U22" i="3"/>
  <c r="T22" i="3"/>
  <c r="V22" i="3" s="1"/>
  <c r="T10" i="3"/>
  <c r="U10" i="3"/>
  <c r="T11" i="3"/>
  <c r="U11" i="3"/>
  <c r="T12" i="3"/>
  <c r="V12" i="3" s="1"/>
  <c r="U12" i="3"/>
  <c r="T13" i="3"/>
  <c r="U13" i="3"/>
  <c r="T14" i="3"/>
  <c r="V14" i="3" s="1"/>
  <c r="U14" i="3"/>
  <c r="T15" i="3"/>
  <c r="U15" i="3"/>
  <c r="T16" i="3"/>
  <c r="V16" i="3" s="1"/>
  <c r="U16" i="3"/>
  <c r="T17" i="3"/>
  <c r="U17" i="3"/>
  <c r="T18" i="3"/>
  <c r="V18" i="3" s="1"/>
  <c r="U18" i="3"/>
  <c r="T19" i="3"/>
  <c r="V19" i="3" s="1"/>
  <c r="U19" i="3"/>
  <c r="T20" i="3"/>
  <c r="U20" i="3"/>
  <c r="T21" i="3"/>
  <c r="V21" i="3" s="1"/>
  <c r="U21" i="3"/>
  <c r="U9" i="3"/>
  <c r="V9" i="3" s="1"/>
  <c r="T9" i="3"/>
  <c r="U8" i="3"/>
  <c r="T8" i="3"/>
  <c r="V20" i="3"/>
  <c r="V10" i="3"/>
  <c r="V17" i="3" l="1"/>
  <c r="V15" i="3"/>
  <c r="V13" i="3"/>
  <c r="V11" i="3"/>
  <c r="T23" i="3"/>
  <c r="V8" i="3"/>
  <c r="U23" i="3"/>
  <c r="R23" i="3"/>
  <c r="Q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V23" i="3" l="1"/>
  <c r="S23" i="3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69" i="14"/>
  <c r="G72" i="43" l="1"/>
  <c r="F72" i="43"/>
  <c r="G50" i="43"/>
  <c r="F50" i="43"/>
  <c r="E71" i="43"/>
  <c r="D71" i="43"/>
  <c r="C71" i="43"/>
  <c r="G70" i="43"/>
  <c r="F70" i="43"/>
  <c r="G69" i="43"/>
  <c r="F69" i="43"/>
  <c r="G68" i="43"/>
  <c r="F68" i="43"/>
  <c r="G67" i="43"/>
  <c r="F67" i="43"/>
  <c r="G66" i="43"/>
  <c r="F66" i="43"/>
  <c r="G65" i="43"/>
  <c r="F65" i="43"/>
  <c r="G64" i="43"/>
  <c r="F64" i="43"/>
  <c r="G63" i="43"/>
  <c r="F63" i="43"/>
  <c r="G62" i="43"/>
  <c r="F62" i="43"/>
  <c r="G61" i="43"/>
  <c r="F61" i="43"/>
  <c r="G60" i="43"/>
  <c r="F60" i="43"/>
  <c r="G59" i="43"/>
  <c r="F59" i="43"/>
  <c r="G58" i="43"/>
  <c r="F58" i="43"/>
  <c r="G57" i="43"/>
  <c r="F57" i="43"/>
  <c r="G56" i="43"/>
  <c r="F56" i="43"/>
  <c r="E49" i="43"/>
  <c r="D49" i="43"/>
  <c r="C49" i="43"/>
  <c r="G48" i="43"/>
  <c r="F48" i="43"/>
  <c r="G47" i="43"/>
  <c r="F47" i="43"/>
  <c r="G46" i="43"/>
  <c r="F46" i="43"/>
  <c r="G45" i="43"/>
  <c r="F45" i="43"/>
  <c r="G44" i="43"/>
  <c r="F44" i="43"/>
  <c r="G43" i="43"/>
  <c r="F43" i="43"/>
  <c r="G42" i="43"/>
  <c r="F42" i="43"/>
  <c r="G41" i="43"/>
  <c r="F41" i="43"/>
  <c r="G40" i="43"/>
  <c r="F40" i="43"/>
  <c r="G39" i="43"/>
  <c r="F39" i="43"/>
  <c r="G38" i="43"/>
  <c r="F38" i="43"/>
  <c r="G37" i="43"/>
  <c r="F37" i="43"/>
  <c r="G36" i="43"/>
  <c r="F36" i="43"/>
  <c r="G35" i="43"/>
  <c r="F35" i="43"/>
  <c r="G34" i="43"/>
  <c r="F34" i="43"/>
  <c r="G71" i="43" l="1"/>
  <c r="F71" i="43"/>
  <c r="G49" i="43"/>
  <c r="F49" i="43"/>
  <c r="A7" i="1" l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19" i="1"/>
  <c r="AH25" i="13" l="1"/>
  <c r="AF25" i="13"/>
  <c r="AE25" i="13"/>
  <c r="AD25" i="13"/>
  <c r="X24" i="13" l="1"/>
  <c r="Y24" i="13"/>
  <c r="Z24" i="13"/>
  <c r="AA24" i="13"/>
  <c r="AB24" i="13"/>
  <c r="X11" i="13"/>
  <c r="Y11" i="13"/>
  <c r="Z11" i="13"/>
  <c r="AA11" i="13"/>
  <c r="AB11" i="13"/>
  <c r="X12" i="13"/>
  <c r="Y12" i="13"/>
  <c r="Z12" i="13"/>
  <c r="AA12" i="13"/>
  <c r="AB12" i="13"/>
  <c r="X13" i="13"/>
  <c r="Y13" i="13"/>
  <c r="Z13" i="13"/>
  <c r="AA13" i="13"/>
  <c r="AB13" i="13"/>
  <c r="X14" i="13"/>
  <c r="Y14" i="13"/>
  <c r="Z14" i="13"/>
  <c r="AA14" i="13"/>
  <c r="AB14" i="13"/>
  <c r="X15" i="13"/>
  <c r="Y15" i="13"/>
  <c r="Z15" i="13"/>
  <c r="AA15" i="13"/>
  <c r="AB15" i="13"/>
  <c r="X16" i="13"/>
  <c r="Y16" i="13"/>
  <c r="Z16" i="13"/>
  <c r="AA16" i="13"/>
  <c r="AB16" i="13"/>
  <c r="X17" i="13"/>
  <c r="Y17" i="13"/>
  <c r="Z17" i="13"/>
  <c r="AA17" i="13"/>
  <c r="AB17" i="13"/>
  <c r="X18" i="13"/>
  <c r="Y18" i="13"/>
  <c r="Z18" i="13"/>
  <c r="AA18" i="13"/>
  <c r="AB18" i="13"/>
  <c r="X19" i="13"/>
  <c r="Y19" i="13"/>
  <c r="Z19" i="13"/>
  <c r="AA19" i="13"/>
  <c r="AB19" i="13"/>
  <c r="X20" i="13"/>
  <c r="Y20" i="13"/>
  <c r="Z20" i="13"/>
  <c r="AA20" i="13"/>
  <c r="AB20" i="13"/>
  <c r="X21" i="13"/>
  <c r="Y21" i="13"/>
  <c r="Z21" i="13"/>
  <c r="AA21" i="13"/>
  <c r="AB21" i="13"/>
  <c r="X22" i="13"/>
  <c r="Y22" i="13"/>
  <c r="Z22" i="13"/>
  <c r="AA22" i="13"/>
  <c r="AB22" i="13"/>
  <c r="X23" i="13"/>
  <c r="Y23" i="13"/>
  <c r="Z23" i="13"/>
  <c r="AA23" i="13"/>
  <c r="AB23" i="13"/>
  <c r="Y10" i="13"/>
  <c r="Z10" i="13"/>
  <c r="AA10" i="13"/>
  <c r="AB10" i="13"/>
  <c r="X10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S25" i="13"/>
  <c r="R25" i="13"/>
  <c r="Q25" i="13"/>
  <c r="P25" i="13"/>
  <c r="O25" i="13"/>
  <c r="G25" i="13"/>
  <c r="F25" i="13"/>
  <c r="E25" i="13"/>
  <c r="D25" i="13"/>
  <c r="C25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10" i="13"/>
  <c r="J25" i="13"/>
  <c r="K25" i="13"/>
  <c r="L25" i="13"/>
  <c r="M25" i="13"/>
  <c r="I25" i="13"/>
  <c r="C14" i="1"/>
  <c r="D14" i="1"/>
  <c r="E14" i="1"/>
  <c r="F14" i="1"/>
  <c r="G14" i="1"/>
  <c r="H14" i="1"/>
  <c r="C15" i="1"/>
  <c r="D15" i="1"/>
  <c r="E15" i="1"/>
  <c r="F15" i="1"/>
  <c r="G15" i="1"/>
  <c r="H15" i="1"/>
  <c r="C16" i="1"/>
  <c r="D16" i="1"/>
  <c r="E16" i="1"/>
  <c r="F16" i="1"/>
  <c r="G16" i="1"/>
  <c r="H16" i="1"/>
  <c r="C17" i="1"/>
  <c r="D17" i="1"/>
  <c r="E17" i="1"/>
  <c r="F17" i="1"/>
  <c r="G17" i="1"/>
  <c r="H17" i="1"/>
  <c r="C18" i="1"/>
  <c r="D18" i="1"/>
  <c r="E18" i="1"/>
  <c r="F18" i="1"/>
  <c r="G18" i="1"/>
  <c r="H18" i="1"/>
  <c r="C19" i="1"/>
  <c r="D19" i="1"/>
  <c r="E19" i="1"/>
  <c r="F19" i="1"/>
  <c r="G19" i="1"/>
  <c r="H19" i="1"/>
  <c r="C20" i="1"/>
  <c r="D20" i="1"/>
  <c r="E20" i="1"/>
  <c r="F20" i="1"/>
  <c r="G20" i="1"/>
  <c r="H20" i="1"/>
  <c r="C21" i="1"/>
  <c r="D21" i="1"/>
  <c r="E21" i="1"/>
  <c r="F21" i="1"/>
  <c r="G21" i="1"/>
  <c r="H21" i="1"/>
  <c r="C22" i="1"/>
  <c r="D22" i="1"/>
  <c r="E22" i="1"/>
  <c r="F22" i="1"/>
  <c r="G22" i="1"/>
  <c r="H22" i="1"/>
  <c r="C23" i="1"/>
  <c r="D23" i="1"/>
  <c r="E23" i="1"/>
  <c r="F23" i="1"/>
  <c r="G23" i="1"/>
  <c r="H23" i="1"/>
  <c r="C24" i="1"/>
  <c r="D24" i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D13" i="1"/>
  <c r="E13" i="1"/>
  <c r="F13" i="1"/>
  <c r="G13" i="1"/>
  <c r="H13" i="1"/>
  <c r="C13" i="1"/>
  <c r="I134" i="1"/>
  <c r="H134" i="1"/>
  <c r="G134" i="1"/>
  <c r="F134" i="1"/>
  <c r="E134" i="1"/>
  <c r="D134" i="1"/>
  <c r="C134" i="1"/>
  <c r="T25" i="13" l="1"/>
  <c r="AC20" i="13"/>
  <c r="AJ20" i="13" s="1"/>
  <c r="AI25" i="13"/>
  <c r="H25" i="13"/>
  <c r="AC21" i="13"/>
  <c r="AJ21" i="13" s="1"/>
  <c r="AC17" i="13"/>
  <c r="AJ17" i="13" s="1"/>
  <c r="AB25" i="13"/>
  <c r="Z25" i="13"/>
  <c r="AC23" i="13"/>
  <c r="AJ23" i="13" s="1"/>
  <c r="AC22" i="13"/>
  <c r="AJ22" i="13" s="1"/>
  <c r="AC19" i="13"/>
  <c r="AJ19" i="13" s="1"/>
  <c r="AC18" i="13"/>
  <c r="AJ18" i="13" s="1"/>
  <c r="AC16" i="13"/>
  <c r="AJ16" i="13" s="1"/>
  <c r="AC15" i="13"/>
  <c r="AJ15" i="13" s="1"/>
  <c r="AC14" i="13"/>
  <c r="AJ14" i="13" s="1"/>
  <c r="AC12" i="13"/>
  <c r="AJ12" i="13" s="1"/>
  <c r="Y25" i="13"/>
  <c r="AC11" i="13"/>
  <c r="AJ11" i="13" s="1"/>
  <c r="AC10" i="13"/>
  <c r="AJ10" i="13" s="1"/>
  <c r="X25" i="13"/>
  <c r="AC13" i="13"/>
  <c r="AJ13" i="13" s="1"/>
  <c r="AA25" i="13"/>
  <c r="AC24" i="13"/>
  <c r="AJ24" i="13" s="1"/>
  <c r="N25" i="13"/>
  <c r="AC25" i="13" l="1"/>
  <c r="AJ25" i="13" s="1"/>
  <c r="I43" i="1"/>
  <c r="I74" i="1" l="1"/>
  <c r="I42" i="1"/>
  <c r="J11" i="37" l="1"/>
  <c r="J12" i="37"/>
  <c r="J13" i="37"/>
  <c r="J14" i="37"/>
  <c r="J15" i="37"/>
  <c r="J16" i="37"/>
  <c r="J17" i="37"/>
  <c r="J18" i="37"/>
  <c r="J19" i="37"/>
  <c r="J20" i="37"/>
  <c r="J21" i="37"/>
  <c r="J22" i="37"/>
  <c r="J23" i="37"/>
  <c r="J24" i="37"/>
  <c r="J27" i="37"/>
  <c r="J28" i="37"/>
  <c r="J29" i="37"/>
  <c r="J30" i="37"/>
  <c r="J31" i="37"/>
  <c r="F24" i="44" l="1"/>
  <c r="D24" i="44"/>
  <c r="E24" i="44"/>
  <c r="C24" i="44"/>
  <c r="I25" i="18" l="1"/>
  <c r="P12" i="11" l="1"/>
  <c r="P13" i="11"/>
  <c r="P14" i="11"/>
  <c r="P15" i="11"/>
  <c r="P16" i="11"/>
  <c r="P17" i="11"/>
  <c r="P18" i="11"/>
  <c r="K8" i="26" l="1"/>
  <c r="K9" i="26"/>
  <c r="K10" i="26"/>
  <c r="K11" i="26"/>
  <c r="K12" i="26"/>
  <c r="K13" i="26"/>
  <c r="K14" i="26"/>
  <c r="K15" i="26"/>
  <c r="D24" i="30"/>
  <c r="E24" i="30"/>
  <c r="F24" i="30"/>
  <c r="S43" i="29" l="1"/>
  <c r="S44" i="29"/>
  <c r="S45" i="29"/>
  <c r="S46" i="29"/>
  <c r="S47" i="29"/>
  <c r="S48" i="29"/>
  <c r="S49" i="29"/>
  <c r="S50" i="29"/>
  <c r="S51" i="29"/>
  <c r="S52" i="29"/>
  <c r="S53" i="29"/>
  <c r="S54" i="29"/>
  <c r="S55" i="29"/>
  <c r="S56" i="29"/>
  <c r="S42" i="29"/>
  <c r="S57" i="29" l="1"/>
  <c r="R57" i="29"/>
  <c r="S11" i="29" l="1"/>
  <c r="S12" i="29"/>
  <c r="S13" i="29"/>
  <c r="S15" i="29"/>
  <c r="S16" i="29"/>
  <c r="S17" i="29"/>
  <c r="S18" i="29"/>
  <c r="S19" i="29"/>
  <c r="S20" i="29"/>
  <c r="S21" i="29"/>
  <c r="S22" i="29"/>
  <c r="S23" i="29"/>
  <c r="S24" i="29"/>
  <c r="S10" i="29"/>
  <c r="R14" i="29" l="1"/>
  <c r="S14" i="29" s="1"/>
  <c r="S25" i="29" s="1"/>
  <c r="R25" i="29" l="1"/>
  <c r="C54" i="14"/>
  <c r="D54" i="14"/>
  <c r="E54" i="14"/>
  <c r="F54" i="14"/>
  <c r="G54" i="14"/>
  <c r="H54" i="14"/>
  <c r="I40" i="1" l="1"/>
  <c r="I93" i="1" l="1"/>
  <c r="I67" i="1"/>
  <c r="H82" i="1"/>
  <c r="G82" i="1"/>
  <c r="D82" i="1"/>
  <c r="E82" i="1"/>
  <c r="F82" i="1"/>
  <c r="G242" i="19" l="1"/>
  <c r="L242" i="19"/>
  <c r="M242" i="19"/>
  <c r="N242" i="19"/>
  <c r="O242" i="19"/>
  <c r="P242" i="19"/>
  <c r="G243" i="19"/>
  <c r="L243" i="19"/>
  <c r="M243" i="19"/>
  <c r="N243" i="19"/>
  <c r="O243" i="19"/>
  <c r="P243" i="19"/>
  <c r="G244" i="19"/>
  <c r="L244" i="19"/>
  <c r="M244" i="19"/>
  <c r="N244" i="19"/>
  <c r="O244" i="19"/>
  <c r="P244" i="19"/>
  <c r="G245" i="19"/>
  <c r="L245" i="19"/>
  <c r="M245" i="19"/>
  <c r="N245" i="19"/>
  <c r="O245" i="19"/>
  <c r="P245" i="19"/>
  <c r="L49" i="19"/>
  <c r="M49" i="19"/>
  <c r="N49" i="19"/>
  <c r="O49" i="19"/>
  <c r="P49" i="19"/>
  <c r="L50" i="19"/>
  <c r="M50" i="19"/>
  <c r="N50" i="19"/>
  <c r="O50" i="19"/>
  <c r="P50" i="19"/>
  <c r="L51" i="19"/>
  <c r="M51" i="19"/>
  <c r="N51" i="19"/>
  <c r="O51" i="19"/>
  <c r="P51" i="19"/>
  <c r="L52" i="19"/>
  <c r="M52" i="19"/>
  <c r="N52" i="19"/>
  <c r="O52" i="19"/>
  <c r="P52" i="19"/>
  <c r="Q51" i="19" l="1"/>
  <c r="Q245" i="19"/>
  <c r="Q244" i="19"/>
  <c r="Q242" i="19"/>
  <c r="Q243" i="19"/>
  <c r="Q50" i="19"/>
  <c r="Q52" i="19"/>
  <c r="Q49" i="19"/>
  <c r="G8" i="15" l="1"/>
  <c r="M8" i="15" s="1"/>
  <c r="G9" i="15"/>
  <c r="M9" i="15" s="1"/>
  <c r="G10" i="15"/>
  <c r="M10" i="15" s="1"/>
  <c r="G11" i="15"/>
  <c r="M11" i="15" s="1"/>
  <c r="P42" i="11"/>
  <c r="P43" i="11"/>
  <c r="P44" i="11"/>
  <c r="C24" i="30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8" i="3"/>
  <c r="O23" i="3"/>
  <c r="N23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J8" i="3"/>
  <c r="I8" i="3"/>
  <c r="H23" i="3"/>
  <c r="G23" i="3"/>
  <c r="F23" i="3"/>
  <c r="E23" i="3"/>
  <c r="D24" i="46"/>
  <c r="C24" i="46"/>
  <c r="A3" i="46"/>
  <c r="D24" i="45"/>
  <c r="E24" i="45"/>
  <c r="G24" i="45"/>
  <c r="H24" i="45"/>
  <c r="I24" i="45"/>
  <c r="C24" i="45"/>
  <c r="A4" i="45"/>
  <c r="A4" i="44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10" i="18"/>
  <c r="O29" i="18"/>
  <c r="P29" i="18"/>
  <c r="Q29" i="18"/>
  <c r="O30" i="18"/>
  <c r="P30" i="18"/>
  <c r="Q30" i="18"/>
  <c r="N31" i="18"/>
  <c r="O31" i="18"/>
  <c r="P31" i="18"/>
  <c r="Q31" i="18"/>
  <c r="N32" i="18"/>
  <c r="O32" i="18"/>
  <c r="P32" i="18"/>
  <c r="Q32" i="18"/>
  <c r="H32" i="18"/>
  <c r="H31" i="18"/>
  <c r="H30" i="18"/>
  <c r="H29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C32" i="18"/>
  <c r="C31" i="18"/>
  <c r="M31" i="18" s="1"/>
  <c r="C30" i="18"/>
  <c r="C29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M22" i="18" s="1"/>
  <c r="C23" i="18"/>
  <c r="C24" i="18"/>
  <c r="C10" i="18"/>
  <c r="D25" i="18"/>
  <c r="N25" i="18" s="1"/>
  <c r="M32" i="18"/>
  <c r="M30" i="18"/>
  <c r="A3" i="42"/>
  <c r="L214" i="19"/>
  <c r="M214" i="19"/>
  <c r="N214" i="19"/>
  <c r="O214" i="19"/>
  <c r="P214" i="19"/>
  <c r="L215" i="19"/>
  <c r="M215" i="19"/>
  <c r="N215" i="19"/>
  <c r="O215" i="19"/>
  <c r="P215" i="19"/>
  <c r="L216" i="19"/>
  <c r="M216" i="19"/>
  <c r="N216" i="19"/>
  <c r="O216" i="19"/>
  <c r="P216" i="19"/>
  <c r="L217" i="19"/>
  <c r="M217" i="19"/>
  <c r="N217" i="19"/>
  <c r="O217" i="19"/>
  <c r="P217" i="19"/>
  <c r="G49" i="19"/>
  <c r="G50" i="19"/>
  <c r="G51" i="19"/>
  <c r="G52" i="19"/>
  <c r="G27" i="43"/>
  <c r="H25" i="10"/>
  <c r="C118" i="11"/>
  <c r="D118" i="11"/>
  <c r="E118" i="11"/>
  <c r="C119" i="11"/>
  <c r="D119" i="11"/>
  <c r="E119" i="11"/>
  <c r="C120" i="11"/>
  <c r="D120" i="11"/>
  <c r="E120" i="11"/>
  <c r="C121" i="11"/>
  <c r="D121" i="11"/>
  <c r="E121" i="11"/>
  <c r="C122" i="11"/>
  <c r="D122" i="11"/>
  <c r="E122" i="11"/>
  <c r="C123" i="11"/>
  <c r="D123" i="11"/>
  <c r="E123" i="11"/>
  <c r="C124" i="11"/>
  <c r="D124" i="11"/>
  <c r="E124" i="11"/>
  <c r="C125" i="11"/>
  <c r="D125" i="11"/>
  <c r="E125" i="11"/>
  <c r="C126" i="11"/>
  <c r="D126" i="11"/>
  <c r="E126" i="11"/>
  <c r="C127" i="11"/>
  <c r="D127" i="11"/>
  <c r="E127" i="11"/>
  <c r="C128" i="11"/>
  <c r="D128" i="11"/>
  <c r="E128" i="11"/>
  <c r="C129" i="11"/>
  <c r="D129" i="11"/>
  <c r="E129" i="11"/>
  <c r="C130" i="11"/>
  <c r="D130" i="11"/>
  <c r="E130" i="11"/>
  <c r="C131" i="11"/>
  <c r="D131" i="11"/>
  <c r="E131" i="11"/>
  <c r="C132" i="11"/>
  <c r="D132" i="11"/>
  <c r="E132" i="11"/>
  <c r="F118" i="11"/>
  <c r="G118" i="11"/>
  <c r="H118" i="11"/>
  <c r="I118" i="11"/>
  <c r="J118" i="11"/>
  <c r="K118" i="11"/>
  <c r="L118" i="11"/>
  <c r="F119" i="11"/>
  <c r="G119" i="11"/>
  <c r="H119" i="11"/>
  <c r="I119" i="11"/>
  <c r="J119" i="11"/>
  <c r="J133" i="11" s="1"/>
  <c r="K119" i="11"/>
  <c r="L119" i="11"/>
  <c r="F120" i="11"/>
  <c r="G120" i="11"/>
  <c r="H120" i="11"/>
  <c r="I120" i="11"/>
  <c r="J120" i="11"/>
  <c r="K120" i="11"/>
  <c r="L120" i="11"/>
  <c r="F121" i="11"/>
  <c r="G121" i="11"/>
  <c r="H121" i="11"/>
  <c r="I121" i="11"/>
  <c r="J121" i="11"/>
  <c r="K121" i="11"/>
  <c r="L121" i="11"/>
  <c r="F122" i="11"/>
  <c r="G122" i="11"/>
  <c r="H122" i="11"/>
  <c r="I122" i="11"/>
  <c r="J122" i="11"/>
  <c r="K122" i="11"/>
  <c r="L122" i="11"/>
  <c r="F123" i="11"/>
  <c r="G123" i="11"/>
  <c r="H123" i="11"/>
  <c r="I123" i="11"/>
  <c r="J123" i="11"/>
  <c r="K123" i="11"/>
  <c r="L123" i="11"/>
  <c r="F124" i="11"/>
  <c r="G124" i="11"/>
  <c r="H124" i="11"/>
  <c r="I124" i="11"/>
  <c r="J124" i="11"/>
  <c r="K124" i="11"/>
  <c r="L124" i="11"/>
  <c r="F125" i="11"/>
  <c r="G125" i="11"/>
  <c r="H125" i="11"/>
  <c r="I125" i="11"/>
  <c r="J125" i="11"/>
  <c r="K125" i="11"/>
  <c r="L125" i="11"/>
  <c r="F126" i="11"/>
  <c r="G126" i="11"/>
  <c r="H126" i="11"/>
  <c r="I126" i="11"/>
  <c r="J126" i="11"/>
  <c r="K126" i="11"/>
  <c r="L126" i="11"/>
  <c r="F127" i="11"/>
  <c r="G127" i="11"/>
  <c r="H127" i="11"/>
  <c r="I127" i="11"/>
  <c r="J127" i="11"/>
  <c r="K127" i="11"/>
  <c r="L127" i="11"/>
  <c r="F128" i="11"/>
  <c r="G128" i="11"/>
  <c r="H128" i="11"/>
  <c r="I128" i="11"/>
  <c r="J128" i="11"/>
  <c r="K128" i="11"/>
  <c r="L128" i="11"/>
  <c r="F129" i="11"/>
  <c r="G129" i="11"/>
  <c r="H129" i="11"/>
  <c r="I129" i="11"/>
  <c r="J129" i="11"/>
  <c r="K129" i="11"/>
  <c r="L129" i="11"/>
  <c r="F130" i="11"/>
  <c r="G130" i="11"/>
  <c r="H130" i="11"/>
  <c r="I130" i="11"/>
  <c r="J130" i="11"/>
  <c r="K130" i="11"/>
  <c r="L130" i="11"/>
  <c r="F131" i="11"/>
  <c r="G131" i="11"/>
  <c r="H131" i="11"/>
  <c r="I131" i="11"/>
  <c r="J131" i="11"/>
  <c r="K131" i="11"/>
  <c r="L131" i="11"/>
  <c r="F132" i="11"/>
  <c r="G132" i="11"/>
  <c r="H132" i="11"/>
  <c r="I132" i="11"/>
  <c r="J132" i="11"/>
  <c r="K132" i="11"/>
  <c r="L132" i="11"/>
  <c r="A3" i="19"/>
  <c r="A4" i="19"/>
  <c r="A5" i="19"/>
  <c r="A6" i="19"/>
  <c r="A7" i="19"/>
  <c r="A8" i="19"/>
  <c r="A9" i="19"/>
  <c r="A10" i="19"/>
  <c r="A11" i="19"/>
  <c r="A12" i="19"/>
  <c r="A13" i="19"/>
  <c r="C21" i="19"/>
  <c r="D21" i="19"/>
  <c r="E21" i="19"/>
  <c r="F21" i="19"/>
  <c r="H21" i="19"/>
  <c r="I21" i="19"/>
  <c r="J21" i="19"/>
  <c r="K21" i="19"/>
  <c r="R21" i="19"/>
  <c r="C22" i="19"/>
  <c r="D22" i="19"/>
  <c r="E22" i="19"/>
  <c r="F22" i="19"/>
  <c r="H22" i="19"/>
  <c r="I22" i="19"/>
  <c r="J22" i="19"/>
  <c r="K22" i="19"/>
  <c r="R22" i="19"/>
  <c r="C23" i="19"/>
  <c r="D23" i="19"/>
  <c r="E23" i="19"/>
  <c r="F23" i="19"/>
  <c r="H23" i="19"/>
  <c r="I23" i="19"/>
  <c r="J23" i="19"/>
  <c r="K23" i="19"/>
  <c r="R23" i="19"/>
  <c r="C24" i="19"/>
  <c r="D24" i="19"/>
  <c r="E24" i="19"/>
  <c r="F24" i="19"/>
  <c r="H24" i="19"/>
  <c r="I24" i="19"/>
  <c r="N24" i="19" s="1"/>
  <c r="J24" i="19"/>
  <c r="K24" i="19"/>
  <c r="R24" i="19"/>
  <c r="C25" i="19"/>
  <c r="D25" i="19"/>
  <c r="E25" i="19"/>
  <c r="F25" i="19"/>
  <c r="H25" i="19"/>
  <c r="I25" i="19"/>
  <c r="J25" i="19"/>
  <c r="K25" i="19"/>
  <c r="R25" i="19"/>
  <c r="C26" i="19"/>
  <c r="D26" i="19"/>
  <c r="E26" i="19"/>
  <c r="F26" i="19"/>
  <c r="H26" i="19"/>
  <c r="M26" i="19" s="1"/>
  <c r="I26" i="19"/>
  <c r="J26" i="19"/>
  <c r="K26" i="19"/>
  <c r="R26" i="19"/>
  <c r="C27" i="19"/>
  <c r="D27" i="19"/>
  <c r="E27" i="19"/>
  <c r="F27" i="19"/>
  <c r="H27" i="19"/>
  <c r="M27" i="19" s="1"/>
  <c r="I27" i="19"/>
  <c r="J27" i="19"/>
  <c r="K27" i="19"/>
  <c r="R27" i="19"/>
  <c r="C28" i="19"/>
  <c r="D28" i="19"/>
  <c r="E28" i="19"/>
  <c r="F28" i="19"/>
  <c r="H28" i="19"/>
  <c r="I28" i="19"/>
  <c r="J28" i="19"/>
  <c r="K28" i="19"/>
  <c r="R28" i="19"/>
  <c r="C29" i="19"/>
  <c r="D29" i="19"/>
  <c r="E29" i="19"/>
  <c r="F29" i="19"/>
  <c r="H29" i="19"/>
  <c r="I29" i="19"/>
  <c r="J29" i="19"/>
  <c r="K29" i="19"/>
  <c r="R29" i="19"/>
  <c r="C30" i="19"/>
  <c r="D30" i="19"/>
  <c r="E30" i="19"/>
  <c r="F30" i="19"/>
  <c r="H30" i="19"/>
  <c r="I30" i="19"/>
  <c r="J30" i="19"/>
  <c r="K30" i="19"/>
  <c r="R30" i="19"/>
  <c r="C31" i="19"/>
  <c r="D31" i="19"/>
  <c r="E31" i="19"/>
  <c r="F31" i="19"/>
  <c r="H31" i="19"/>
  <c r="I31" i="19"/>
  <c r="J31" i="19"/>
  <c r="K31" i="19"/>
  <c r="P31" i="19" s="1"/>
  <c r="R31" i="19"/>
  <c r="C32" i="19"/>
  <c r="D32" i="19"/>
  <c r="E32" i="19"/>
  <c r="F32" i="19"/>
  <c r="H32" i="19"/>
  <c r="I32" i="19"/>
  <c r="J32" i="19"/>
  <c r="K32" i="19"/>
  <c r="R32" i="19"/>
  <c r="C33" i="19"/>
  <c r="D33" i="19"/>
  <c r="E33" i="19"/>
  <c r="F33" i="19"/>
  <c r="H33" i="19"/>
  <c r="I33" i="19"/>
  <c r="J33" i="19"/>
  <c r="K33" i="19"/>
  <c r="R33" i="19"/>
  <c r="C34" i="19"/>
  <c r="D34" i="19"/>
  <c r="E34" i="19"/>
  <c r="F34" i="19"/>
  <c r="H34" i="19"/>
  <c r="I34" i="19"/>
  <c r="J34" i="19"/>
  <c r="K34" i="19"/>
  <c r="R34" i="19"/>
  <c r="C35" i="19"/>
  <c r="D35" i="19"/>
  <c r="E35" i="19"/>
  <c r="F35" i="19"/>
  <c r="H35" i="19"/>
  <c r="I35" i="19"/>
  <c r="J35" i="19"/>
  <c r="K35" i="19"/>
  <c r="P35" i="19" s="1"/>
  <c r="R35" i="19"/>
  <c r="G53" i="19"/>
  <c r="L53" i="19"/>
  <c r="M53" i="19"/>
  <c r="N53" i="19"/>
  <c r="O53" i="19"/>
  <c r="P53" i="19"/>
  <c r="G54" i="19"/>
  <c r="L54" i="19"/>
  <c r="M54" i="19"/>
  <c r="N54" i="19"/>
  <c r="O54" i="19"/>
  <c r="P54" i="19"/>
  <c r="G55" i="19"/>
  <c r="L55" i="19"/>
  <c r="M55" i="19"/>
  <c r="N55" i="19"/>
  <c r="O55" i="19"/>
  <c r="P55" i="19"/>
  <c r="G56" i="19"/>
  <c r="L56" i="19"/>
  <c r="M56" i="19"/>
  <c r="N56" i="19"/>
  <c r="O56" i="19"/>
  <c r="P56" i="19"/>
  <c r="G57" i="19"/>
  <c r="L57" i="19"/>
  <c r="M57" i="19"/>
  <c r="N57" i="19"/>
  <c r="O57" i="19"/>
  <c r="P57" i="19"/>
  <c r="G58" i="19"/>
  <c r="L58" i="19"/>
  <c r="M58" i="19"/>
  <c r="N58" i="19"/>
  <c r="O58" i="19"/>
  <c r="P58" i="19"/>
  <c r="G59" i="19"/>
  <c r="L59" i="19"/>
  <c r="M59" i="19"/>
  <c r="N59" i="19"/>
  <c r="O59" i="19"/>
  <c r="P59" i="19"/>
  <c r="G60" i="19"/>
  <c r="L60" i="19"/>
  <c r="M60" i="19"/>
  <c r="N60" i="19"/>
  <c r="O60" i="19"/>
  <c r="P60" i="19"/>
  <c r="G61" i="19"/>
  <c r="L61" i="19"/>
  <c r="M61" i="19"/>
  <c r="N61" i="19"/>
  <c r="O61" i="19"/>
  <c r="P61" i="19"/>
  <c r="G62" i="19"/>
  <c r="L62" i="19"/>
  <c r="M62" i="19"/>
  <c r="N62" i="19"/>
  <c r="O62" i="19"/>
  <c r="P62" i="19"/>
  <c r="G63" i="19"/>
  <c r="L63" i="19"/>
  <c r="M63" i="19"/>
  <c r="N63" i="19"/>
  <c r="O63" i="19"/>
  <c r="P63" i="19"/>
  <c r="C64" i="19"/>
  <c r="D64" i="19"/>
  <c r="E64" i="19"/>
  <c r="F64" i="19"/>
  <c r="H64" i="19"/>
  <c r="I64" i="19"/>
  <c r="J64" i="19"/>
  <c r="K64" i="19"/>
  <c r="G77" i="19"/>
  <c r="L77" i="19"/>
  <c r="M77" i="19"/>
  <c r="N77" i="19"/>
  <c r="O77" i="19"/>
  <c r="P77" i="19"/>
  <c r="G78" i="19"/>
  <c r="L78" i="19"/>
  <c r="M78" i="19"/>
  <c r="N78" i="19"/>
  <c r="O78" i="19"/>
  <c r="P78" i="19"/>
  <c r="G79" i="19"/>
  <c r="L79" i="19"/>
  <c r="M79" i="19"/>
  <c r="N79" i="19"/>
  <c r="O79" i="19"/>
  <c r="P79" i="19"/>
  <c r="G80" i="19"/>
  <c r="L80" i="19"/>
  <c r="M80" i="19"/>
  <c r="N80" i="19"/>
  <c r="O80" i="19"/>
  <c r="P80" i="19"/>
  <c r="G81" i="19"/>
  <c r="L81" i="19"/>
  <c r="M81" i="19"/>
  <c r="N81" i="19"/>
  <c r="O81" i="19"/>
  <c r="P81" i="19"/>
  <c r="G82" i="19"/>
  <c r="L82" i="19"/>
  <c r="M82" i="19"/>
  <c r="N82" i="19"/>
  <c r="O82" i="19"/>
  <c r="P82" i="19"/>
  <c r="G83" i="19"/>
  <c r="L83" i="19"/>
  <c r="M83" i="19"/>
  <c r="N83" i="19"/>
  <c r="O83" i="19"/>
  <c r="P83" i="19"/>
  <c r="G84" i="19"/>
  <c r="L84" i="19"/>
  <c r="M84" i="19"/>
  <c r="N84" i="19"/>
  <c r="O84" i="19"/>
  <c r="P84" i="19"/>
  <c r="G85" i="19"/>
  <c r="L85" i="19"/>
  <c r="M85" i="19"/>
  <c r="N85" i="19"/>
  <c r="O85" i="19"/>
  <c r="P85" i="19"/>
  <c r="G86" i="19"/>
  <c r="L86" i="19"/>
  <c r="M86" i="19"/>
  <c r="N86" i="19"/>
  <c r="O86" i="19"/>
  <c r="P86" i="19"/>
  <c r="G87" i="19"/>
  <c r="L87" i="19"/>
  <c r="M87" i="19"/>
  <c r="N87" i="19"/>
  <c r="O87" i="19"/>
  <c r="P87" i="19"/>
  <c r="G88" i="19"/>
  <c r="L88" i="19"/>
  <c r="M88" i="19"/>
  <c r="N88" i="19"/>
  <c r="O88" i="19"/>
  <c r="P88" i="19"/>
  <c r="G89" i="19"/>
  <c r="L89" i="19"/>
  <c r="M89" i="19"/>
  <c r="N89" i="19"/>
  <c r="O89" i="19"/>
  <c r="P89" i="19"/>
  <c r="G90" i="19"/>
  <c r="L90" i="19"/>
  <c r="M90" i="19"/>
  <c r="N90" i="19"/>
  <c r="O90" i="19"/>
  <c r="P90" i="19"/>
  <c r="G91" i="19"/>
  <c r="L91" i="19"/>
  <c r="M91" i="19"/>
  <c r="N91" i="19"/>
  <c r="O91" i="19"/>
  <c r="P91" i="19"/>
  <c r="C92" i="19"/>
  <c r="D92" i="19"/>
  <c r="E92" i="19"/>
  <c r="F92" i="19"/>
  <c r="H92" i="19"/>
  <c r="I92" i="19"/>
  <c r="J92" i="19"/>
  <c r="K92" i="19"/>
  <c r="R92" i="19"/>
  <c r="G104" i="19"/>
  <c r="L104" i="19"/>
  <c r="M104" i="19"/>
  <c r="N104" i="19"/>
  <c r="O104" i="19"/>
  <c r="P104" i="19"/>
  <c r="G105" i="19"/>
  <c r="L105" i="19"/>
  <c r="M105" i="19"/>
  <c r="N105" i="19"/>
  <c r="O105" i="19"/>
  <c r="P105" i="19"/>
  <c r="G106" i="19"/>
  <c r="L106" i="19"/>
  <c r="M106" i="19"/>
  <c r="N106" i="19"/>
  <c r="O106" i="19"/>
  <c r="P106" i="19"/>
  <c r="G107" i="19"/>
  <c r="L107" i="19"/>
  <c r="M107" i="19"/>
  <c r="N107" i="19"/>
  <c r="O107" i="19"/>
  <c r="P107" i="19"/>
  <c r="G108" i="19"/>
  <c r="L108" i="19"/>
  <c r="M108" i="19"/>
  <c r="N108" i="19"/>
  <c r="O108" i="19"/>
  <c r="P108" i="19"/>
  <c r="G109" i="19"/>
  <c r="L109" i="19"/>
  <c r="M109" i="19"/>
  <c r="N109" i="19"/>
  <c r="O109" i="19"/>
  <c r="P109" i="19"/>
  <c r="G110" i="19"/>
  <c r="L110" i="19"/>
  <c r="M110" i="19"/>
  <c r="N110" i="19"/>
  <c r="O110" i="19"/>
  <c r="P110" i="19"/>
  <c r="G111" i="19"/>
  <c r="L111" i="19"/>
  <c r="M111" i="19"/>
  <c r="N111" i="19"/>
  <c r="O111" i="19"/>
  <c r="P111" i="19"/>
  <c r="G112" i="19"/>
  <c r="L112" i="19"/>
  <c r="M112" i="19"/>
  <c r="N112" i="19"/>
  <c r="O112" i="19"/>
  <c r="P112" i="19"/>
  <c r="G113" i="19"/>
  <c r="L113" i="19"/>
  <c r="M113" i="19"/>
  <c r="N113" i="19"/>
  <c r="O113" i="19"/>
  <c r="P113" i="19"/>
  <c r="G114" i="19"/>
  <c r="L114" i="19"/>
  <c r="M114" i="19"/>
  <c r="N114" i="19"/>
  <c r="O114" i="19"/>
  <c r="P114" i="19"/>
  <c r="G115" i="19"/>
  <c r="L115" i="19"/>
  <c r="M115" i="19"/>
  <c r="N115" i="19"/>
  <c r="O115" i="19"/>
  <c r="P115" i="19"/>
  <c r="G116" i="19"/>
  <c r="L116" i="19"/>
  <c r="M116" i="19"/>
  <c r="N116" i="19"/>
  <c r="O116" i="19"/>
  <c r="P116" i="19"/>
  <c r="G117" i="19"/>
  <c r="L117" i="19"/>
  <c r="M117" i="19"/>
  <c r="N117" i="19"/>
  <c r="O117" i="19"/>
  <c r="P117" i="19"/>
  <c r="G118" i="19"/>
  <c r="L118" i="19"/>
  <c r="M118" i="19"/>
  <c r="N118" i="19"/>
  <c r="O118" i="19"/>
  <c r="P118" i="19"/>
  <c r="C119" i="19"/>
  <c r="D119" i="19"/>
  <c r="E119" i="19"/>
  <c r="F119" i="19"/>
  <c r="H119" i="19"/>
  <c r="I119" i="19"/>
  <c r="J119" i="19"/>
  <c r="K119" i="19"/>
  <c r="R119" i="19"/>
  <c r="V22" i="19" s="1"/>
  <c r="G131" i="19"/>
  <c r="L131" i="19"/>
  <c r="M131" i="19"/>
  <c r="N131" i="19"/>
  <c r="O131" i="19"/>
  <c r="P131" i="19"/>
  <c r="G132" i="19"/>
  <c r="L132" i="19"/>
  <c r="M132" i="19"/>
  <c r="N132" i="19"/>
  <c r="O132" i="19"/>
  <c r="P132" i="19"/>
  <c r="G133" i="19"/>
  <c r="L133" i="19"/>
  <c r="M133" i="19"/>
  <c r="N133" i="19"/>
  <c r="O133" i="19"/>
  <c r="P133" i="19"/>
  <c r="G134" i="19"/>
  <c r="L134" i="19"/>
  <c r="M134" i="19"/>
  <c r="N134" i="19"/>
  <c r="O134" i="19"/>
  <c r="P134" i="19"/>
  <c r="G135" i="19"/>
  <c r="L135" i="19"/>
  <c r="M135" i="19"/>
  <c r="N135" i="19"/>
  <c r="O135" i="19"/>
  <c r="P135" i="19"/>
  <c r="G136" i="19"/>
  <c r="L136" i="19"/>
  <c r="M136" i="19"/>
  <c r="N136" i="19"/>
  <c r="O136" i="19"/>
  <c r="P136" i="19"/>
  <c r="G137" i="19"/>
  <c r="L137" i="19"/>
  <c r="M137" i="19"/>
  <c r="N137" i="19"/>
  <c r="O137" i="19"/>
  <c r="P137" i="19"/>
  <c r="G138" i="19"/>
  <c r="L138" i="19"/>
  <c r="M138" i="19"/>
  <c r="N138" i="19"/>
  <c r="O138" i="19"/>
  <c r="P138" i="19"/>
  <c r="G139" i="19"/>
  <c r="L139" i="19"/>
  <c r="M139" i="19"/>
  <c r="N139" i="19"/>
  <c r="O139" i="19"/>
  <c r="P139" i="19"/>
  <c r="G140" i="19"/>
  <c r="L140" i="19"/>
  <c r="M140" i="19"/>
  <c r="N140" i="19"/>
  <c r="O140" i="19"/>
  <c r="P140" i="19"/>
  <c r="G141" i="19"/>
  <c r="L141" i="19"/>
  <c r="M141" i="19"/>
  <c r="N141" i="19"/>
  <c r="O141" i="19"/>
  <c r="P141" i="19"/>
  <c r="G142" i="19"/>
  <c r="L142" i="19"/>
  <c r="M142" i="19"/>
  <c r="N142" i="19"/>
  <c r="O142" i="19"/>
  <c r="P142" i="19"/>
  <c r="G143" i="19"/>
  <c r="L143" i="19"/>
  <c r="M143" i="19"/>
  <c r="N143" i="19"/>
  <c r="O143" i="19"/>
  <c r="P143" i="19"/>
  <c r="G144" i="19"/>
  <c r="L144" i="19"/>
  <c r="M144" i="19"/>
  <c r="N144" i="19"/>
  <c r="O144" i="19"/>
  <c r="P144" i="19"/>
  <c r="G145" i="19"/>
  <c r="L145" i="19"/>
  <c r="M145" i="19"/>
  <c r="N145" i="19"/>
  <c r="O145" i="19"/>
  <c r="P145" i="19"/>
  <c r="C146" i="19"/>
  <c r="D146" i="19"/>
  <c r="E146" i="19"/>
  <c r="F146" i="19"/>
  <c r="H146" i="19"/>
  <c r="I146" i="19"/>
  <c r="J146" i="19"/>
  <c r="K146" i="19"/>
  <c r="R146" i="19"/>
  <c r="G158" i="19"/>
  <c r="L158" i="19"/>
  <c r="M158" i="19"/>
  <c r="N158" i="19"/>
  <c r="O158" i="19"/>
  <c r="P158" i="19"/>
  <c r="G159" i="19"/>
  <c r="L159" i="19"/>
  <c r="M159" i="19"/>
  <c r="O159" i="19"/>
  <c r="P159" i="19"/>
  <c r="G160" i="19"/>
  <c r="L160" i="19"/>
  <c r="M160" i="19"/>
  <c r="N160" i="19"/>
  <c r="O160" i="19"/>
  <c r="P160" i="19"/>
  <c r="G161" i="19"/>
  <c r="L161" i="19"/>
  <c r="M161" i="19"/>
  <c r="N161" i="19"/>
  <c r="O161" i="19"/>
  <c r="P161" i="19"/>
  <c r="G162" i="19"/>
  <c r="L162" i="19"/>
  <c r="M162" i="19"/>
  <c r="N162" i="19"/>
  <c r="O162" i="19"/>
  <c r="P162" i="19"/>
  <c r="G163" i="19"/>
  <c r="L163" i="19"/>
  <c r="M163" i="19"/>
  <c r="N163" i="19"/>
  <c r="O163" i="19"/>
  <c r="P163" i="19"/>
  <c r="G164" i="19"/>
  <c r="L164" i="19"/>
  <c r="M164" i="19"/>
  <c r="N164" i="19"/>
  <c r="O164" i="19"/>
  <c r="P164" i="19"/>
  <c r="G165" i="19"/>
  <c r="L165" i="19"/>
  <c r="M165" i="19"/>
  <c r="N165" i="19"/>
  <c r="O165" i="19"/>
  <c r="P165" i="19"/>
  <c r="G166" i="19"/>
  <c r="L166" i="19"/>
  <c r="M166" i="19"/>
  <c r="N166" i="19"/>
  <c r="O166" i="19"/>
  <c r="P166" i="19"/>
  <c r="G167" i="19"/>
  <c r="L167" i="19"/>
  <c r="M167" i="19"/>
  <c r="N167" i="19"/>
  <c r="O167" i="19"/>
  <c r="P167" i="19"/>
  <c r="G168" i="19"/>
  <c r="L168" i="19"/>
  <c r="M168" i="19"/>
  <c r="N168" i="19"/>
  <c r="O168" i="19"/>
  <c r="P168" i="19"/>
  <c r="G169" i="19"/>
  <c r="L169" i="19"/>
  <c r="M169" i="19"/>
  <c r="N169" i="19"/>
  <c r="O169" i="19"/>
  <c r="P169" i="19"/>
  <c r="G170" i="19"/>
  <c r="L170" i="19"/>
  <c r="M170" i="19"/>
  <c r="N170" i="19"/>
  <c r="O170" i="19"/>
  <c r="P170" i="19"/>
  <c r="G171" i="19"/>
  <c r="L171" i="19"/>
  <c r="M171" i="19"/>
  <c r="N171" i="19"/>
  <c r="O171" i="19"/>
  <c r="P171" i="19"/>
  <c r="G172" i="19"/>
  <c r="L172" i="19"/>
  <c r="M172" i="19"/>
  <c r="N172" i="19"/>
  <c r="O172" i="19"/>
  <c r="P172" i="19"/>
  <c r="C173" i="19"/>
  <c r="D173" i="19"/>
  <c r="E173" i="19"/>
  <c r="F173" i="19"/>
  <c r="H173" i="19"/>
  <c r="I173" i="19"/>
  <c r="J173" i="19"/>
  <c r="K173" i="19"/>
  <c r="R173" i="19"/>
  <c r="G186" i="19"/>
  <c r="L186" i="19"/>
  <c r="M186" i="19"/>
  <c r="N186" i="19"/>
  <c r="O186" i="19"/>
  <c r="P186" i="19"/>
  <c r="G187" i="19"/>
  <c r="L187" i="19"/>
  <c r="M187" i="19"/>
  <c r="N187" i="19"/>
  <c r="O187" i="19"/>
  <c r="P187" i="19"/>
  <c r="G188" i="19"/>
  <c r="L188" i="19"/>
  <c r="M188" i="19"/>
  <c r="N188" i="19"/>
  <c r="O188" i="19"/>
  <c r="P188" i="19"/>
  <c r="G189" i="19"/>
  <c r="L189" i="19"/>
  <c r="M189" i="19"/>
  <c r="N189" i="19"/>
  <c r="O189" i="19"/>
  <c r="P189" i="19"/>
  <c r="G190" i="19"/>
  <c r="L190" i="19"/>
  <c r="M190" i="19"/>
  <c r="N190" i="19"/>
  <c r="O190" i="19"/>
  <c r="P190" i="19"/>
  <c r="G191" i="19"/>
  <c r="L191" i="19"/>
  <c r="M191" i="19"/>
  <c r="N191" i="19"/>
  <c r="O191" i="19"/>
  <c r="P191" i="19"/>
  <c r="G192" i="19"/>
  <c r="L192" i="19"/>
  <c r="M192" i="19"/>
  <c r="N192" i="19"/>
  <c r="O192" i="19"/>
  <c r="P192" i="19"/>
  <c r="G193" i="19"/>
  <c r="L193" i="19"/>
  <c r="M193" i="19"/>
  <c r="N193" i="19"/>
  <c r="O193" i="19"/>
  <c r="P193" i="19"/>
  <c r="G194" i="19"/>
  <c r="L194" i="19"/>
  <c r="M194" i="19"/>
  <c r="N194" i="19"/>
  <c r="O194" i="19"/>
  <c r="P194" i="19"/>
  <c r="G195" i="19"/>
  <c r="L195" i="19"/>
  <c r="M195" i="19"/>
  <c r="N195" i="19"/>
  <c r="O195" i="19"/>
  <c r="P195" i="19"/>
  <c r="G196" i="19"/>
  <c r="L196" i="19"/>
  <c r="M196" i="19"/>
  <c r="N196" i="19"/>
  <c r="O196" i="19"/>
  <c r="P196" i="19"/>
  <c r="G197" i="19"/>
  <c r="L197" i="19"/>
  <c r="M197" i="19"/>
  <c r="N197" i="19"/>
  <c r="O197" i="19"/>
  <c r="P197" i="19"/>
  <c r="G198" i="19"/>
  <c r="L198" i="19"/>
  <c r="M198" i="19"/>
  <c r="N198" i="19"/>
  <c r="O198" i="19"/>
  <c r="P198" i="19"/>
  <c r="G199" i="19"/>
  <c r="L199" i="19"/>
  <c r="M199" i="19"/>
  <c r="N199" i="19"/>
  <c r="O199" i="19"/>
  <c r="P199" i="19"/>
  <c r="G200" i="19"/>
  <c r="L200" i="19"/>
  <c r="M200" i="19"/>
  <c r="N200" i="19"/>
  <c r="O200" i="19"/>
  <c r="P200" i="19"/>
  <c r="C201" i="19"/>
  <c r="D201" i="19"/>
  <c r="E201" i="19"/>
  <c r="F201" i="19"/>
  <c r="H201" i="19"/>
  <c r="I201" i="19"/>
  <c r="J201" i="19"/>
  <c r="K201" i="19"/>
  <c r="R201" i="19"/>
  <c r="G214" i="19"/>
  <c r="G215" i="19"/>
  <c r="G216" i="19"/>
  <c r="G217" i="19"/>
  <c r="G218" i="19"/>
  <c r="L218" i="19"/>
  <c r="M218" i="19"/>
  <c r="N218" i="19"/>
  <c r="O218" i="19"/>
  <c r="P218" i="19"/>
  <c r="G219" i="19"/>
  <c r="L219" i="19"/>
  <c r="M219" i="19"/>
  <c r="N219" i="19"/>
  <c r="O219" i="19"/>
  <c r="P219" i="19"/>
  <c r="G220" i="19"/>
  <c r="L220" i="19"/>
  <c r="M220" i="19"/>
  <c r="N220" i="19"/>
  <c r="O220" i="19"/>
  <c r="P220" i="19"/>
  <c r="G221" i="19"/>
  <c r="L221" i="19"/>
  <c r="M221" i="19"/>
  <c r="N221" i="19"/>
  <c r="O221" i="19"/>
  <c r="P221" i="19"/>
  <c r="G222" i="19"/>
  <c r="L222" i="19"/>
  <c r="M222" i="19"/>
  <c r="N222" i="19"/>
  <c r="O222" i="19"/>
  <c r="P222" i="19"/>
  <c r="G223" i="19"/>
  <c r="L223" i="19"/>
  <c r="M223" i="19"/>
  <c r="N223" i="19"/>
  <c r="O223" i="19"/>
  <c r="P223" i="19"/>
  <c r="G224" i="19"/>
  <c r="L224" i="19"/>
  <c r="M224" i="19"/>
  <c r="N224" i="19"/>
  <c r="O224" i="19"/>
  <c r="P224" i="19"/>
  <c r="G225" i="19"/>
  <c r="L225" i="19"/>
  <c r="M225" i="19"/>
  <c r="N225" i="19"/>
  <c r="O225" i="19"/>
  <c r="P225" i="19"/>
  <c r="G226" i="19"/>
  <c r="L226" i="19"/>
  <c r="M226" i="19"/>
  <c r="N226" i="19"/>
  <c r="O226" i="19"/>
  <c r="P226" i="19"/>
  <c r="G227" i="19"/>
  <c r="L227" i="19"/>
  <c r="M227" i="19"/>
  <c r="N227" i="19"/>
  <c r="O227" i="19"/>
  <c r="P227" i="19"/>
  <c r="G228" i="19"/>
  <c r="L228" i="19"/>
  <c r="M228" i="19"/>
  <c r="N228" i="19"/>
  <c r="O228" i="19"/>
  <c r="P228" i="19"/>
  <c r="C229" i="19"/>
  <c r="D229" i="19"/>
  <c r="E229" i="19"/>
  <c r="F229" i="19"/>
  <c r="H229" i="19"/>
  <c r="I229" i="19"/>
  <c r="J229" i="19"/>
  <c r="K229" i="19"/>
  <c r="R229" i="19"/>
  <c r="G246" i="19"/>
  <c r="L246" i="19"/>
  <c r="M246" i="19"/>
  <c r="N246" i="19"/>
  <c r="O246" i="19"/>
  <c r="P246" i="19"/>
  <c r="G247" i="19"/>
  <c r="L247" i="19"/>
  <c r="M247" i="19"/>
  <c r="N247" i="19"/>
  <c r="O247" i="19"/>
  <c r="P247" i="19"/>
  <c r="G248" i="19"/>
  <c r="L248" i="19"/>
  <c r="M248" i="19"/>
  <c r="N248" i="19"/>
  <c r="O248" i="19"/>
  <c r="P248" i="19"/>
  <c r="G249" i="19"/>
  <c r="L249" i="19"/>
  <c r="M249" i="19"/>
  <c r="N249" i="19"/>
  <c r="O249" i="19"/>
  <c r="P249" i="19"/>
  <c r="G250" i="19"/>
  <c r="L250" i="19"/>
  <c r="M250" i="19"/>
  <c r="N250" i="19"/>
  <c r="O250" i="19"/>
  <c r="P250" i="19"/>
  <c r="G251" i="19"/>
  <c r="L251" i="19"/>
  <c r="M251" i="19"/>
  <c r="N251" i="19"/>
  <c r="O251" i="19"/>
  <c r="P251" i="19"/>
  <c r="G252" i="19"/>
  <c r="L252" i="19"/>
  <c r="M252" i="19"/>
  <c r="N252" i="19"/>
  <c r="O252" i="19"/>
  <c r="P252" i="19"/>
  <c r="G253" i="19"/>
  <c r="L253" i="19"/>
  <c r="M253" i="19"/>
  <c r="N253" i="19"/>
  <c r="O253" i="19"/>
  <c r="P253" i="19"/>
  <c r="G254" i="19"/>
  <c r="L254" i="19"/>
  <c r="M254" i="19"/>
  <c r="N254" i="19"/>
  <c r="O254" i="19"/>
  <c r="P254" i="19"/>
  <c r="G255" i="19"/>
  <c r="L255" i="19"/>
  <c r="M255" i="19"/>
  <c r="N255" i="19"/>
  <c r="O255" i="19"/>
  <c r="P255" i="19"/>
  <c r="G256" i="19"/>
  <c r="L256" i="19"/>
  <c r="M256" i="19"/>
  <c r="N256" i="19"/>
  <c r="O256" i="19"/>
  <c r="P256" i="19"/>
  <c r="C257" i="19"/>
  <c r="D257" i="19"/>
  <c r="E257" i="19"/>
  <c r="F257" i="19"/>
  <c r="H257" i="19"/>
  <c r="I257" i="19"/>
  <c r="J257" i="19"/>
  <c r="K257" i="19"/>
  <c r="R257" i="19"/>
  <c r="G269" i="19"/>
  <c r="L269" i="19"/>
  <c r="N269" i="19"/>
  <c r="O269" i="19"/>
  <c r="P269" i="19"/>
  <c r="G270" i="19"/>
  <c r="L270" i="19"/>
  <c r="M270" i="19"/>
  <c r="N270" i="19"/>
  <c r="O270" i="19"/>
  <c r="P270" i="19"/>
  <c r="G271" i="19"/>
  <c r="L271" i="19"/>
  <c r="M271" i="19"/>
  <c r="N271" i="19"/>
  <c r="O271" i="19"/>
  <c r="P271" i="19"/>
  <c r="G272" i="19"/>
  <c r="L272" i="19"/>
  <c r="M272" i="19"/>
  <c r="N272" i="19"/>
  <c r="O272" i="19"/>
  <c r="P272" i="19"/>
  <c r="G273" i="19"/>
  <c r="L273" i="19"/>
  <c r="M273" i="19"/>
  <c r="N273" i="19"/>
  <c r="O273" i="19"/>
  <c r="P273" i="19"/>
  <c r="G274" i="19"/>
  <c r="L274" i="19"/>
  <c r="M274" i="19"/>
  <c r="N274" i="19"/>
  <c r="O274" i="19"/>
  <c r="P274" i="19"/>
  <c r="G275" i="19"/>
  <c r="L275" i="19"/>
  <c r="M275" i="19"/>
  <c r="N275" i="19"/>
  <c r="O275" i="19"/>
  <c r="P275" i="19"/>
  <c r="G276" i="19"/>
  <c r="L276" i="19"/>
  <c r="M276" i="19"/>
  <c r="N276" i="19"/>
  <c r="O276" i="19"/>
  <c r="P276" i="19"/>
  <c r="G277" i="19"/>
  <c r="L277" i="19"/>
  <c r="M277" i="19"/>
  <c r="N277" i="19"/>
  <c r="O277" i="19"/>
  <c r="P277" i="19"/>
  <c r="G278" i="19"/>
  <c r="L278" i="19"/>
  <c r="M278" i="19"/>
  <c r="N278" i="19"/>
  <c r="O278" i="19"/>
  <c r="P278" i="19"/>
  <c r="G279" i="19"/>
  <c r="L279" i="19"/>
  <c r="M279" i="19"/>
  <c r="N279" i="19"/>
  <c r="O279" i="19"/>
  <c r="P279" i="19"/>
  <c r="G280" i="19"/>
  <c r="L280" i="19"/>
  <c r="M280" i="19"/>
  <c r="N280" i="19"/>
  <c r="O280" i="19"/>
  <c r="P280" i="19"/>
  <c r="G281" i="19"/>
  <c r="L281" i="19"/>
  <c r="M281" i="19"/>
  <c r="N281" i="19"/>
  <c r="O281" i="19"/>
  <c r="P281" i="19"/>
  <c r="G282" i="19"/>
  <c r="L282" i="19"/>
  <c r="M282" i="19"/>
  <c r="N282" i="19"/>
  <c r="O282" i="19"/>
  <c r="P282" i="19"/>
  <c r="G283" i="19"/>
  <c r="L283" i="19"/>
  <c r="M283" i="19"/>
  <c r="N283" i="19"/>
  <c r="O283" i="19"/>
  <c r="P283" i="19"/>
  <c r="C284" i="19"/>
  <c r="D284" i="19"/>
  <c r="E284" i="19"/>
  <c r="F284" i="19"/>
  <c r="H284" i="19"/>
  <c r="I284" i="19"/>
  <c r="J284" i="19"/>
  <c r="K284" i="19"/>
  <c r="R284" i="19"/>
  <c r="C298" i="19"/>
  <c r="D298" i="19"/>
  <c r="E298" i="19"/>
  <c r="F298" i="19"/>
  <c r="H298" i="19"/>
  <c r="I298" i="19"/>
  <c r="J298" i="19"/>
  <c r="K298" i="19"/>
  <c r="R298" i="19"/>
  <c r="C299" i="19"/>
  <c r="D299" i="19"/>
  <c r="E299" i="19"/>
  <c r="F299" i="19"/>
  <c r="H299" i="19"/>
  <c r="I299" i="19"/>
  <c r="J299" i="19"/>
  <c r="K299" i="19"/>
  <c r="R299" i="19"/>
  <c r="C300" i="19"/>
  <c r="D300" i="19"/>
  <c r="E300" i="19"/>
  <c r="F300" i="19"/>
  <c r="H300" i="19"/>
  <c r="I300" i="19"/>
  <c r="J300" i="19"/>
  <c r="K300" i="19"/>
  <c r="M300" i="19"/>
  <c r="R300" i="19"/>
  <c r="C301" i="19"/>
  <c r="D301" i="19"/>
  <c r="E301" i="19"/>
  <c r="F301" i="19"/>
  <c r="H301" i="19"/>
  <c r="I301" i="19"/>
  <c r="J301" i="19"/>
  <c r="K301" i="19"/>
  <c r="R301" i="19"/>
  <c r="C302" i="19"/>
  <c r="D302" i="19"/>
  <c r="E302" i="19"/>
  <c r="F302" i="19"/>
  <c r="H302" i="19"/>
  <c r="I302" i="19"/>
  <c r="J302" i="19"/>
  <c r="K302" i="19"/>
  <c r="R302" i="19"/>
  <c r="C303" i="19"/>
  <c r="D303" i="19"/>
  <c r="E303" i="19"/>
  <c r="F303" i="19"/>
  <c r="H303" i="19"/>
  <c r="I303" i="19"/>
  <c r="J303" i="19"/>
  <c r="O303" i="19" s="1"/>
  <c r="K303" i="19"/>
  <c r="R303" i="19"/>
  <c r="C304" i="19"/>
  <c r="D304" i="19"/>
  <c r="E304" i="19"/>
  <c r="F304" i="19"/>
  <c r="H304" i="19"/>
  <c r="I304" i="19"/>
  <c r="N304" i="19" s="1"/>
  <c r="J304" i="19"/>
  <c r="K304" i="19"/>
  <c r="P304" i="19" s="1"/>
  <c r="R304" i="19"/>
  <c r="C305" i="19"/>
  <c r="D305" i="19"/>
  <c r="E305" i="19"/>
  <c r="F305" i="19"/>
  <c r="H305" i="19"/>
  <c r="I305" i="19"/>
  <c r="N305" i="19" s="1"/>
  <c r="J305" i="19"/>
  <c r="K305" i="19"/>
  <c r="R305" i="19"/>
  <c r="C306" i="19"/>
  <c r="D306" i="19"/>
  <c r="E306" i="19"/>
  <c r="F306" i="19"/>
  <c r="H306" i="19"/>
  <c r="I306" i="19"/>
  <c r="J306" i="19"/>
  <c r="K306" i="19"/>
  <c r="R306" i="19"/>
  <c r="C307" i="19"/>
  <c r="D307" i="19"/>
  <c r="E307" i="19"/>
  <c r="F307" i="19"/>
  <c r="H307" i="19"/>
  <c r="I307" i="19"/>
  <c r="J307" i="19"/>
  <c r="K307" i="19"/>
  <c r="P307" i="19" s="1"/>
  <c r="R307" i="19"/>
  <c r="C308" i="19"/>
  <c r="D308" i="19"/>
  <c r="E308" i="19"/>
  <c r="F308" i="19"/>
  <c r="H308" i="19"/>
  <c r="I308" i="19"/>
  <c r="J308" i="19"/>
  <c r="O308" i="19" s="1"/>
  <c r="K308" i="19"/>
  <c r="R308" i="19"/>
  <c r="C309" i="19"/>
  <c r="D309" i="19"/>
  <c r="E309" i="19"/>
  <c r="F309" i="19"/>
  <c r="H309" i="19"/>
  <c r="I309" i="19"/>
  <c r="J309" i="19"/>
  <c r="K309" i="19"/>
  <c r="R309" i="19"/>
  <c r="C310" i="19"/>
  <c r="D310" i="19"/>
  <c r="E310" i="19"/>
  <c r="F310" i="19"/>
  <c r="H310" i="19"/>
  <c r="M310" i="19" s="1"/>
  <c r="I310" i="19"/>
  <c r="J310" i="19"/>
  <c r="K310" i="19"/>
  <c r="R310" i="19"/>
  <c r="C311" i="19"/>
  <c r="D311" i="19"/>
  <c r="E311" i="19"/>
  <c r="F311" i="19"/>
  <c r="H311" i="19"/>
  <c r="M311" i="19" s="1"/>
  <c r="I311" i="19"/>
  <c r="J311" i="19"/>
  <c r="K311" i="19"/>
  <c r="R311" i="19"/>
  <c r="C312" i="19"/>
  <c r="D312" i="19"/>
  <c r="E312" i="19"/>
  <c r="F312" i="19"/>
  <c r="H312" i="19"/>
  <c r="I312" i="19"/>
  <c r="J312" i="19"/>
  <c r="K312" i="19"/>
  <c r="R312" i="19"/>
  <c r="N21" i="19"/>
  <c r="L284" i="19"/>
  <c r="A3" i="30"/>
  <c r="A5" i="28"/>
  <c r="E23" i="33"/>
  <c r="F23" i="33"/>
  <c r="G23" i="33"/>
  <c r="H23" i="33"/>
  <c r="G7" i="43"/>
  <c r="G8" i="43"/>
  <c r="G9" i="43"/>
  <c r="G10" i="43"/>
  <c r="G11" i="43"/>
  <c r="G12" i="43"/>
  <c r="G13" i="43"/>
  <c r="G14" i="43"/>
  <c r="G15" i="43"/>
  <c r="G16" i="43"/>
  <c r="G17" i="43"/>
  <c r="G18" i="43"/>
  <c r="G19" i="43"/>
  <c r="G20" i="43"/>
  <c r="F15" i="43"/>
  <c r="F10" i="43"/>
  <c r="F11" i="43"/>
  <c r="F12" i="43"/>
  <c r="F13" i="43"/>
  <c r="F14" i="43"/>
  <c r="F16" i="43"/>
  <c r="F17" i="43"/>
  <c r="F18" i="43"/>
  <c r="F19" i="43"/>
  <c r="D28" i="1"/>
  <c r="F8" i="43"/>
  <c r="F9" i="43"/>
  <c r="F20" i="43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10" i="36"/>
  <c r="K16" i="26"/>
  <c r="K17" i="26"/>
  <c r="K18" i="26"/>
  <c r="K19" i="26"/>
  <c r="K20" i="26"/>
  <c r="K21" i="26"/>
  <c r="K22" i="26"/>
  <c r="O11" i="27"/>
  <c r="O12" i="27"/>
  <c r="O13" i="27"/>
  <c r="O14" i="27"/>
  <c r="O15" i="27"/>
  <c r="O16" i="27"/>
  <c r="O17" i="27"/>
  <c r="O18" i="27"/>
  <c r="O19" i="27"/>
  <c r="O20" i="27"/>
  <c r="O21" i="27"/>
  <c r="O22" i="27"/>
  <c r="O23" i="27"/>
  <c r="O24" i="27"/>
  <c r="O10" i="27"/>
  <c r="G11" i="27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10" i="27"/>
  <c r="R24" i="28"/>
  <c r="R23" i="28"/>
  <c r="R22" i="28"/>
  <c r="R21" i="28"/>
  <c r="R20" i="28"/>
  <c r="R19" i="28"/>
  <c r="R18" i="28"/>
  <c r="R17" i="28"/>
  <c r="R16" i="28"/>
  <c r="R15" i="28"/>
  <c r="R14" i="28"/>
  <c r="R13" i="28"/>
  <c r="R12" i="28"/>
  <c r="R11" i="28"/>
  <c r="R10" i="28"/>
  <c r="J24" i="28"/>
  <c r="J23" i="28"/>
  <c r="J22" i="28"/>
  <c r="J21" i="28"/>
  <c r="J20" i="28"/>
  <c r="J19" i="28"/>
  <c r="J18" i="28"/>
  <c r="J17" i="28"/>
  <c r="G6" i="43"/>
  <c r="F7" i="43"/>
  <c r="F6" i="43"/>
  <c r="E21" i="43"/>
  <c r="D21" i="43"/>
  <c r="C21" i="43"/>
  <c r="F19" i="14"/>
  <c r="I9" i="42"/>
  <c r="I13" i="42"/>
  <c r="I16" i="42"/>
  <c r="I20" i="42"/>
  <c r="I11" i="42"/>
  <c r="I15" i="42"/>
  <c r="I17" i="42"/>
  <c r="I19" i="42"/>
  <c r="I21" i="42"/>
  <c r="I10" i="42"/>
  <c r="I14" i="42"/>
  <c r="I18" i="42"/>
  <c r="I22" i="42"/>
  <c r="I12" i="42"/>
  <c r="I8" i="42"/>
  <c r="A2" i="3"/>
  <c r="I25" i="36"/>
  <c r="G25" i="37"/>
  <c r="D23" i="33"/>
  <c r="Q25" i="27"/>
  <c r="I25" i="27"/>
  <c r="D54" i="28"/>
  <c r="E54" i="28"/>
  <c r="F54" i="28"/>
  <c r="G54" i="28"/>
  <c r="H54" i="28"/>
  <c r="C54" i="28"/>
  <c r="O25" i="28"/>
  <c r="G25" i="28"/>
  <c r="O10" i="18"/>
  <c r="P10" i="18"/>
  <c r="Q10" i="18"/>
  <c r="O11" i="18"/>
  <c r="P11" i="18"/>
  <c r="Q11" i="18"/>
  <c r="O12" i="18"/>
  <c r="P12" i="18"/>
  <c r="Q12" i="18"/>
  <c r="O13" i="18"/>
  <c r="P13" i="18"/>
  <c r="Q13" i="18"/>
  <c r="O14" i="18"/>
  <c r="P14" i="18"/>
  <c r="Q14" i="18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F22" i="38"/>
  <c r="E22" i="38"/>
  <c r="H14" i="34"/>
  <c r="I14" i="34" s="1"/>
  <c r="M14" i="34" s="1"/>
  <c r="H15" i="34"/>
  <c r="I15" i="34" s="1"/>
  <c r="M15" i="34" s="1"/>
  <c r="H13" i="34"/>
  <c r="I13" i="34" s="1"/>
  <c r="M13" i="34" s="1"/>
  <c r="H11" i="34"/>
  <c r="I11" i="34" s="1"/>
  <c r="M11" i="34" s="1"/>
  <c r="H12" i="34"/>
  <c r="I12" i="34" s="1"/>
  <c r="M12" i="34" s="1"/>
  <c r="G24" i="39"/>
  <c r="G20" i="39"/>
  <c r="G18" i="39"/>
  <c r="G16" i="39"/>
  <c r="G14" i="39"/>
  <c r="G12" i="39"/>
  <c r="H26" i="39"/>
  <c r="C26" i="39"/>
  <c r="A5" i="39"/>
  <c r="K4" i="39"/>
  <c r="A4" i="39"/>
  <c r="A5" i="40"/>
  <c r="H23" i="34"/>
  <c r="I23" i="34" s="1"/>
  <c r="M23" i="34" s="1"/>
  <c r="H19" i="34"/>
  <c r="A4" i="34"/>
  <c r="A4" i="36"/>
  <c r="H25" i="37"/>
  <c r="F25" i="37"/>
  <c r="A4" i="37"/>
  <c r="H22" i="34"/>
  <c r="I22" i="34" s="1"/>
  <c r="M22" i="34" s="1"/>
  <c r="H25" i="34"/>
  <c r="I25" i="34" s="1"/>
  <c r="M25" i="34" s="1"/>
  <c r="H18" i="34"/>
  <c r="I18" i="34" s="1"/>
  <c r="M18" i="34" s="1"/>
  <c r="H21" i="34"/>
  <c r="I21" i="34" s="1"/>
  <c r="M21" i="34" s="1"/>
  <c r="H24" i="34"/>
  <c r="I24" i="34" s="1"/>
  <c r="M24" i="34" s="1"/>
  <c r="F26" i="40"/>
  <c r="G15" i="39"/>
  <c r="G19" i="39"/>
  <c r="G23" i="39"/>
  <c r="G11" i="39"/>
  <c r="C25" i="36"/>
  <c r="C25" i="37"/>
  <c r="F25" i="36"/>
  <c r="E26" i="34"/>
  <c r="H17" i="34"/>
  <c r="I17" i="34" s="1"/>
  <c r="M17" i="34" s="1"/>
  <c r="I19" i="34"/>
  <c r="M19" i="34" s="1"/>
  <c r="H20" i="34"/>
  <c r="I20" i="34" s="1"/>
  <c r="M20" i="34" s="1"/>
  <c r="E26" i="40"/>
  <c r="E26" i="39"/>
  <c r="G13" i="39"/>
  <c r="G17" i="39"/>
  <c r="G21" i="39"/>
  <c r="G25" i="39"/>
  <c r="E25" i="37"/>
  <c r="D25" i="37"/>
  <c r="I25" i="37"/>
  <c r="E25" i="36"/>
  <c r="J25" i="36"/>
  <c r="D26" i="34"/>
  <c r="H16" i="34"/>
  <c r="I16" i="34" s="1"/>
  <c r="M16" i="34" s="1"/>
  <c r="D26" i="39"/>
  <c r="F26" i="39"/>
  <c r="D25" i="36"/>
  <c r="G25" i="36" s="1"/>
  <c r="H25" i="36"/>
  <c r="C26" i="34"/>
  <c r="G26" i="34"/>
  <c r="C26" i="40"/>
  <c r="G26" i="40"/>
  <c r="G22" i="39"/>
  <c r="F26" i="34"/>
  <c r="D26" i="40"/>
  <c r="C23" i="33"/>
  <c r="A5" i="32"/>
  <c r="Q25" i="31"/>
  <c r="O25" i="31"/>
  <c r="M25" i="31"/>
  <c r="A5" i="31"/>
  <c r="A4" i="31"/>
  <c r="F18" i="31"/>
  <c r="G12" i="31"/>
  <c r="G20" i="31"/>
  <c r="F11" i="31"/>
  <c r="F21" i="31"/>
  <c r="H19" i="31"/>
  <c r="G22" i="31"/>
  <c r="H16" i="31"/>
  <c r="G17" i="31"/>
  <c r="G21" i="31"/>
  <c r="G13" i="31"/>
  <c r="G16" i="31"/>
  <c r="G24" i="31"/>
  <c r="F13" i="31"/>
  <c r="G14" i="31"/>
  <c r="F15" i="31"/>
  <c r="G18" i="31"/>
  <c r="H20" i="31"/>
  <c r="C25" i="31"/>
  <c r="E25" i="31"/>
  <c r="D25" i="31"/>
  <c r="G25" i="31" s="1"/>
  <c r="H15" i="31"/>
  <c r="F17" i="31"/>
  <c r="F19" i="31"/>
  <c r="F22" i="31"/>
  <c r="H23" i="31"/>
  <c r="H24" i="31"/>
  <c r="F10" i="31"/>
  <c r="H11" i="31"/>
  <c r="H12" i="31"/>
  <c r="H14" i="31"/>
  <c r="H21" i="31"/>
  <c r="F23" i="31"/>
  <c r="F14" i="31"/>
  <c r="H10" i="31"/>
  <c r="G11" i="31"/>
  <c r="F12" i="31"/>
  <c r="G15" i="31"/>
  <c r="F16" i="31"/>
  <c r="H18" i="31"/>
  <c r="G19" i="31"/>
  <c r="F20" i="31"/>
  <c r="H22" i="31"/>
  <c r="G23" i="31"/>
  <c r="F24" i="31"/>
  <c r="G10" i="31"/>
  <c r="H13" i="31"/>
  <c r="H17" i="31"/>
  <c r="H25" i="31"/>
  <c r="I16" i="31" s="1"/>
  <c r="A4" i="26"/>
  <c r="L25" i="27"/>
  <c r="K25" i="27"/>
  <c r="E25" i="27"/>
  <c r="C25" i="27"/>
  <c r="A4" i="27"/>
  <c r="A4" i="28"/>
  <c r="A4" i="29"/>
  <c r="J23" i="26"/>
  <c r="P25" i="27"/>
  <c r="G23" i="26"/>
  <c r="R25" i="27"/>
  <c r="I23" i="26"/>
  <c r="K25" i="28"/>
  <c r="D23" i="26"/>
  <c r="H23" i="26"/>
  <c r="P25" i="28"/>
  <c r="E25" i="28"/>
  <c r="F23" i="26"/>
  <c r="N25" i="27"/>
  <c r="H25" i="27"/>
  <c r="D25" i="27"/>
  <c r="J25" i="27"/>
  <c r="F25" i="27"/>
  <c r="E23" i="26"/>
  <c r="L25" i="28"/>
  <c r="Q25" i="28"/>
  <c r="N25" i="28"/>
  <c r="M25" i="27"/>
  <c r="F25" i="28"/>
  <c r="D25" i="28"/>
  <c r="I25" i="28"/>
  <c r="C25" i="28"/>
  <c r="H25" i="28"/>
  <c r="J25" i="28" s="1"/>
  <c r="M25" i="28"/>
  <c r="R25" i="28" s="1"/>
  <c r="E25" i="29"/>
  <c r="C23" i="26"/>
  <c r="A7" i="11"/>
  <c r="F12" i="14"/>
  <c r="F11" i="14"/>
  <c r="F21" i="14"/>
  <c r="A6" i="11"/>
  <c r="A5" i="11"/>
  <c r="A5" i="14"/>
  <c r="A4" i="14"/>
  <c r="A3" i="14"/>
  <c r="A2" i="14"/>
  <c r="F116" i="14"/>
  <c r="E116" i="14"/>
  <c r="H24" i="14"/>
  <c r="G24" i="14"/>
  <c r="F24" i="14"/>
  <c r="E24" i="14"/>
  <c r="D24" i="14"/>
  <c r="C24" i="14"/>
  <c r="F23" i="14"/>
  <c r="E23" i="14"/>
  <c r="H22" i="14"/>
  <c r="G22" i="14"/>
  <c r="D22" i="14"/>
  <c r="C22" i="14"/>
  <c r="H21" i="14"/>
  <c r="G21" i="14"/>
  <c r="E21" i="14"/>
  <c r="D21" i="14"/>
  <c r="C21" i="14"/>
  <c r="H20" i="14"/>
  <c r="G20" i="14"/>
  <c r="F20" i="14"/>
  <c r="E20" i="14"/>
  <c r="D20" i="14"/>
  <c r="C20" i="14"/>
  <c r="H19" i="14"/>
  <c r="G19" i="14"/>
  <c r="E19" i="14"/>
  <c r="D19" i="14"/>
  <c r="C19" i="14"/>
  <c r="H18" i="14"/>
  <c r="G18" i="14"/>
  <c r="F18" i="14"/>
  <c r="E18" i="14"/>
  <c r="D18" i="14"/>
  <c r="C18" i="14"/>
  <c r="H17" i="14"/>
  <c r="G17" i="14"/>
  <c r="F17" i="14"/>
  <c r="E17" i="14"/>
  <c r="D17" i="14"/>
  <c r="C17" i="14"/>
  <c r="H16" i="14"/>
  <c r="G16" i="14"/>
  <c r="D16" i="14"/>
  <c r="C16" i="14"/>
  <c r="F15" i="14"/>
  <c r="E15" i="14"/>
  <c r="H14" i="14"/>
  <c r="G14" i="14"/>
  <c r="F14" i="14"/>
  <c r="E14" i="14"/>
  <c r="D14" i="14"/>
  <c r="C14" i="14"/>
  <c r="H13" i="14"/>
  <c r="G13" i="14"/>
  <c r="F13" i="14"/>
  <c r="E13" i="14"/>
  <c r="D13" i="14"/>
  <c r="C13" i="14"/>
  <c r="H12" i="14"/>
  <c r="G12" i="14"/>
  <c r="D12" i="14"/>
  <c r="C12" i="14"/>
  <c r="H11" i="14"/>
  <c r="G11" i="14"/>
  <c r="E11" i="14"/>
  <c r="D11" i="14"/>
  <c r="C11" i="14"/>
  <c r="H10" i="14"/>
  <c r="G10" i="14"/>
  <c r="D10" i="14"/>
  <c r="C10" i="14"/>
  <c r="F22" i="14"/>
  <c r="E22" i="14"/>
  <c r="D15" i="14"/>
  <c r="H15" i="14"/>
  <c r="F16" i="14"/>
  <c r="D23" i="14"/>
  <c r="H23" i="14"/>
  <c r="E10" i="14"/>
  <c r="E12" i="14"/>
  <c r="C15" i="14"/>
  <c r="G15" i="14"/>
  <c r="E16" i="14"/>
  <c r="C23" i="14"/>
  <c r="G23" i="14"/>
  <c r="F10" i="14"/>
  <c r="D116" i="14"/>
  <c r="H116" i="14"/>
  <c r="C116" i="14"/>
  <c r="G116" i="14"/>
  <c r="A4" i="18"/>
  <c r="A4" i="16"/>
  <c r="A3" i="15"/>
  <c r="A4" i="13"/>
  <c r="A3" i="13"/>
  <c r="A4" i="11"/>
  <c r="A4" i="10"/>
  <c r="A3" i="4"/>
  <c r="A6" i="1"/>
  <c r="A5" i="1"/>
  <c r="A4" i="1"/>
  <c r="A3" i="1"/>
  <c r="H108" i="1"/>
  <c r="E25" i="18"/>
  <c r="C82" i="1"/>
  <c r="C25" i="16"/>
  <c r="E55" i="1"/>
  <c r="I72" i="1"/>
  <c r="I79" i="1"/>
  <c r="I75" i="1"/>
  <c r="I97" i="1"/>
  <c r="I96" i="1"/>
  <c r="I95" i="1"/>
  <c r="I104" i="1"/>
  <c r="I46" i="1"/>
  <c r="I41" i="1"/>
  <c r="I53" i="1"/>
  <c r="I49" i="1"/>
  <c r="G55" i="1"/>
  <c r="D55" i="1"/>
  <c r="C108" i="1"/>
  <c r="F25" i="18"/>
  <c r="G25" i="18"/>
  <c r="I73" i="1"/>
  <c r="I68" i="1"/>
  <c r="I80" i="1"/>
  <c r="I76" i="1"/>
  <c r="I98" i="1"/>
  <c r="I105" i="1"/>
  <c r="I101" i="1"/>
  <c r="C24" i="4"/>
  <c r="D23" i="3"/>
  <c r="G108" i="1"/>
  <c r="D108" i="1"/>
  <c r="I47" i="1"/>
  <c r="I54" i="1"/>
  <c r="I50" i="1"/>
  <c r="P22" i="18"/>
  <c r="Q17" i="18"/>
  <c r="Q18" i="18"/>
  <c r="P15" i="18"/>
  <c r="P24" i="18"/>
  <c r="Q20" i="18"/>
  <c r="P17" i="18"/>
  <c r="Q22" i="18"/>
  <c r="P19" i="18"/>
  <c r="Q15" i="18"/>
  <c r="Q24" i="18"/>
  <c r="P21" i="18"/>
  <c r="P18" i="18"/>
  <c r="P23" i="18"/>
  <c r="Q19" i="18"/>
  <c r="P16" i="18"/>
  <c r="Q21" i="18"/>
  <c r="Q23" i="18"/>
  <c r="P20" i="18"/>
  <c r="Q16" i="18"/>
  <c r="C23" i="3"/>
  <c r="G21" i="15"/>
  <c r="M21" i="15" s="1"/>
  <c r="G14" i="15"/>
  <c r="M14" i="15" s="1"/>
  <c r="F108" i="1"/>
  <c r="I81" i="1"/>
  <c r="I77" i="1"/>
  <c r="I99" i="1"/>
  <c r="I94" i="1"/>
  <c r="I106" i="1"/>
  <c r="I102" i="1"/>
  <c r="E25" i="16"/>
  <c r="I44" i="1"/>
  <c r="I51" i="1"/>
  <c r="D24" i="4"/>
  <c r="E108" i="1"/>
  <c r="C55" i="1"/>
  <c r="E24" i="4"/>
  <c r="I71" i="1"/>
  <c r="I70" i="1"/>
  <c r="I69" i="1"/>
  <c r="I78" i="1"/>
  <c r="D25" i="16"/>
  <c r="H55" i="1"/>
  <c r="F55" i="1"/>
  <c r="I100" i="1"/>
  <c r="I107" i="1"/>
  <c r="I103" i="1"/>
  <c r="I45" i="1"/>
  <c r="I52" i="1"/>
  <c r="I48" i="1"/>
  <c r="F25" i="16"/>
  <c r="G20" i="15"/>
  <c r="M20" i="15" s="1"/>
  <c r="D57" i="11"/>
  <c r="O119" i="11"/>
  <c r="M126" i="11"/>
  <c r="N128" i="11"/>
  <c r="G19" i="15"/>
  <c r="M19" i="15" s="1"/>
  <c r="G17" i="15"/>
  <c r="M17" i="15" s="1"/>
  <c r="G12" i="15"/>
  <c r="M12" i="15" s="1"/>
  <c r="K27" i="11"/>
  <c r="M128" i="11"/>
  <c r="N119" i="11"/>
  <c r="M131" i="11"/>
  <c r="K25" i="18"/>
  <c r="H84" i="14"/>
  <c r="I93" i="11"/>
  <c r="G93" i="11"/>
  <c r="F28" i="1"/>
  <c r="E84" i="14"/>
  <c r="E25" i="14" s="1"/>
  <c r="H57" i="11"/>
  <c r="I57" i="11"/>
  <c r="K57" i="11"/>
  <c r="G57" i="11"/>
  <c r="J57" i="11"/>
  <c r="F57" i="11"/>
  <c r="N27" i="11"/>
  <c r="G15" i="15"/>
  <c r="M15" i="15" s="1"/>
  <c r="G22" i="15"/>
  <c r="M22" i="15" s="1"/>
  <c r="C23" i="15"/>
  <c r="I23" i="15" s="1"/>
  <c r="G13" i="15"/>
  <c r="M13" i="15" s="1"/>
  <c r="E57" i="11"/>
  <c r="G27" i="11"/>
  <c r="M121" i="11"/>
  <c r="N127" i="11"/>
  <c r="N129" i="11"/>
  <c r="O120" i="11"/>
  <c r="O129" i="11"/>
  <c r="O123" i="11"/>
  <c r="M130" i="11"/>
  <c r="M132" i="11"/>
  <c r="N123" i="11"/>
  <c r="N132" i="11"/>
  <c r="M127" i="11"/>
  <c r="E25" i="10"/>
  <c r="P22" i="11"/>
  <c r="M57" i="11"/>
  <c r="C57" i="11"/>
  <c r="D93" i="11"/>
  <c r="E93" i="11"/>
  <c r="O16" i="18"/>
  <c r="N93" i="11"/>
  <c r="N118" i="11"/>
  <c r="M118" i="11"/>
  <c r="M93" i="11"/>
  <c r="H93" i="11"/>
  <c r="O27" i="11"/>
  <c r="L57" i="11"/>
  <c r="M27" i="11"/>
  <c r="I25" i="10"/>
  <c r="G18" i="15"/>
  <c r="M18" i="15" s="1"/>
  <c r="J27" i="11"/>
  <c r="H27" i="11"/>
  <c r="O130" i="11"/>
  <c r="M122" i="11"/>
  <c r="M124" i="11"/>
  <c r="N130" i="11"/>
  <c r="N120" i="11"/>
  <c r="O124" i="11"/>
  <c r="O126" i="11"/>
  <c r="M119" i="11"/>
  <c r="O121" i="11"/>
  <c r="C25" i="10"/>
  <c r="P23" i="11"/>
  <c r="P21" i="11"/>
  <c r="E27" i="11"/>
  <c r="O57" i="11"/>
  <c r="D23" i="15"/>
  <c r="J23" i="15" s="1"/>
  <c r="E23" i="15"/>
  <c r="K23" i="15" s="1"/>
  <c r="O17" i="18"/>
  <c r="O20" i="18"/>
  <c r="O18" i="18"/>
  <c r="O15" i="18"/>
  <c r="O19" i="18"/>
  <c r="J25" i="18"/>
  <c r="G84" i="14"/>
  <c r="J93" i="11"/>
  <c r="J25" i="10"/>
  <c r="K25" i="10" s="1"/>
  <c r="F23" i="15"/>
  <c r="L23" i="15" s="1"/>
  <c r="G16" i="15"/>
  <c r="M16" i="15" s="1"/>
  <c r="L27" i="11"/>
  <c r="F27" i="11"/>
  <c r="N125" i="11"/>
  <c r="O131" i="11"/>
  <c r="O125" i="11"/>
  <c r="M125" i="11"/>
  <c r="N131" i="11"/>
  <c r="N121" i="11"/>
  <c r="O127" i="11"/>
  <c r="M123" i="11"/>
  <c r="P19" i="11"/>
  <c r="P24" i="11"/>
  <c r="P26" i="11"/>
  <c r="P25" i="11"/>
  <c r="N57" i="11"/>
  <c r="C93" i="11"/>
  <c r="O24" i="18"/>
  <c r="O23" i="18"/>
  <c r="O22" i="18"/>
  <c r="O21" i="18"/>
  <c r="O118" i="11"/>
  <c r="O93" i="11"/>
  <c r="C27" i="11"/>
  <c r="K93" i="11"/>
  <c r="L93" i="11"/>
  <c r="F93" i="11"/>
  <c r="C84" i="14"/>
  <c r="D84" i="14"/>
  <c r="I27" i="11"/>
  <c r="M120" i="11"/>
  <c r="N126" i="11"/>
  <c r="O132" i="11"/>
  <c r="O122" i="11"/>
  <c r="M129" i="11"/>
  <c r="N124" i="11"/>
  <c r="N122" i="11"/>
  <c r="O128" i="11"/>
  <c r="P20" i="11"/>
  <c r="D27" i="11"/>
  <c r="F84" i="14"/>
  <c r="F25" i="14" s="1"/>
  <c r="J25" i="37" l="1"/>
  <c r="L64" i="19"/>
  <c r="O92" i="19"/>
  <c r="P32" i="19"/>
  <c r="N30" i="19"/>
  <c r="G257" i="19"/>
  <c r="O312" i="19"/>
  <c r="N309" i="19"/>
  <c r="P301" i="19"/>
  <c r="O22" i="19"/>
  <c r="P25" i="19"/>
  <c r="M20" i="18"/>
  <c r="M16" i="18"/>
  <c r="L133" i="11"/>
  <c r="K133" i="11"/>
  <c r="G133" i="11"/>
  <c r="I133" i="11"/>
  <c r="P93" i="11"/>
  <c r="L25" i="10"/>
  <c r="K23" i="26"/>
  <c r="O25" i="27"/>
  <c r="N300" i="19"/>
  <c r="M284" i="19"/>
  <c r="O300" i="19"/>
  <c r="N307" i="19"/>
  <c r="M302" i="19"/>
  <c r="N312" i="19"/>
  <c r="N33" i="19"/>
  <c r="O257" i="19"/>
  <c r="Q192" i="19"/>
  <c r="M13" i="18"/>
  <c r="Q25" i="18"/>
  <c r="P25" i="18"/>
  <c r="O25" i="18"/>
  <c r="M10" i="18"/>
  <c r="M29" i="18"/>
  <c r="M14" i="18"/>
  <c r="M19" i="18"/>
  <c r="M23" i="18"/>
  <c r="G23" i="15"/>
  <c r="M23" i="15" s="1"/>
  <c r="I23" i="42"/>
  <c r="P23" i="3"/>
  <c r="G25" i="14"/>
  <c r="H26" i="34"/>
  <c r="G21" i="43"/>
  <c r="G26" i="39"/>
  <c r="R313" i="19"/>
  <c r="Q272" i="19"/>
  <c r="Q271" i="19"/>
  <c r="Q281" i="19"/>
  <c r="V24" i="19"/>
  <c r="M257" i="19"/>
  <c r="N302" i="19"/>
  <c r="P298" i="19"/>
  <c r="Q256" i="19"/>
  <c r="M201" i="19"/>
  <c r="O27" i="19"/>
  <c r="V23" i="19"/>
  <c r="Q159" i="19"/>
  <c r="P173" i="19"/>
  <c r="Q139" i="19"/>
  <c r="G119" i="19"/>
  <c r="O31" i="19"/>
  <c r="M33" i="19"/>
  <c r="O34" i="19"/>
  <c r="M15" i="18"/>
  <c r="M17" i="18"/>
  <c r="M21" i="18"/>
  <c r="C25" i="18"/>
  <c r="M24" i="18"/>
  <c r="M11" i="18"/>
  <c r="M18" i="18"/>
  <c r="H25" i="18"/>
  <c r="M12" i="18"/>
  <c r="H23" i="15"/>
  <c r="N23" i="15" s="1"/>
  <c r="I18" i="31"/>
  <c r="I10" i="31"/>
  <c r="I24" i="31"/>
  <c r="F25" i="31"/>
  <c r="I11" i="31"/>
  <c r="I15" i="31"/>
  <c r="I21" i="31"/>
  <c r="I12" i="31"/>
  <c r="I19" i="31"/>
  <c r="I13" i="31"/>
  <c r="I14" i="31"/>
  <c r="I20" i="31"/>
  <c r="I17" i="31"/>
  <c r="I25" i="31"/>
  <c r="P57" i="11"/>
  <c r="F133" i="11"/>
  <c r="H133" i="11"/>
  <c r="E133" i="11"/>
  <c r="P122" i="11"/>
  <c r="P130" i="11"/>
  <c r="N133" i="11"/>
  <c r="M133" i="11"/>
  <c r="P127" i="11"/>
  <c r="P119" i="11"/>
  <c r="O133" i="11"/>
  <c r="P118" i="11"/>
  <c r="P27" i="11"/>
  <c r="D133" i="11"/>
  <c r="C133" i="11"/>
  <c r="P131" i="11"/>
  <c r="P123" i="11"/>
  <c r="P132" i="11"/>
  <c r="P129" i="11"/>
  <c r="P128" i="11"/>
  <c r="P126" i="11"/>
  <c r="P125" i="11"/>
  <c r="P124" i="11"/>
  <c r="P121" i="11"/>
  <c r="P120" i="11"/>
  <c r="F25" i="10"/>
  <c r="G25" i="27"/>
  <c r="J23" i="3"/>
  <c r="I23" i="3"/>
  <c r="J24" i="45"/>
  <c r="F24" i="45"/>
  <c r="H26" i="40"/>
  <c r="I26" i="34"/>
  <c r="M26" i="34" s="1"/>
  <c r="H25" i="29"/>
  <c r="C25" i="29"/>
  <c r="F25" i="29"/>
  <c r="C28" i="1"/>
  <c r="I21" i="1"/>
  <c r="E28" i="1"/>
  <c r="G28" i="1"/>
  <c r="I14" i="1"/>
  <c r="I23" i="1"/>
  <c r="I24" i="1"/>
  <c r="I16" i="1"/>
  <c r="I20" i="1"/>
  <c r="H25" i="14"/>
  <c r="C25" i="14"/>
  <c r="D25" i="14"/>
  <c r="I108" i="1"/>
  <c r="I82" i="1"/>
  <c r="I55" i="1"/>
  <c r="I27" i="1"/>
  <c r="I26" i="1"/>
  <c r="I22" i="1"/>
  <c r="I18" i="1"/>
  <c r="I17" i="1"/>
  <c r="H28" i="1"/>
  <c r="I19" i="1"/>
  <c r="I25" i="1"/>
  <c r="I13" i="1"/>
  <c r="I15" i="1"/>
  <c r="M303" i="19"/>
  <c r="O26" i="19"/>
  <c r="P29" i="19"/>
  <c r="M24" i="19"/>
  <c r="P21" i="19"/>
  <c r="Q283" i="19"/>
  <c r="Q278" i="19"/>
  <c r="Q276" i="19"/>
  <c r="O302" i="19"/>
  <c r="P299" i="19"/>
  <c r="P303" i="19"/>
  <c r="N301" i="19"/>
  <c r="Q274" i="19"/>
  <c r="Q273" i="19"/>
  <c r="P309" i="19"/>
  <c r="O306" i="19"/>
  <c r="P305" i="19"/>
  <c r="O23" i="19"/>
  <c r="P22" i="19"/>
  <c r="M21" i="19"/>
  <c r="N284" i="19"/>
  <c r="P284" i="19"/>
  <c r="G284" i="19"/>
  <c r="G311" i="19"/>
  <c r="Q282" i="19"/>
  <c r="Q280" i="19"/>
  <c r="Q279" i="19"/>
  <c r="Q277" i="19"/>
  <c r="Q275" i="19"/>
  <c r="Q270" i="19"/>
  <c r="O284" i="19"/>
  <c r="M308" i="19"/>
  <c r="Q269" i="19"/>
  <c r="P34" i="19"/>
  <c r="N257" i="19"/>
  <c r="G309" i="19"/>
  <c r="G302" i="19"/>
  <c r="L312" i="19"/>
  <c r="O311" i="19"/>
  <c r="P310" i="19"/>
  <c r="L309" i="19"/>
  <c r="L308" i="19"/>
  <c r="L306" i="19"/>
  <c r="L305" i="19"/>
  <c r="Q255" i="19"/>
  <c r="Q254" i="19"/>
  <c r="Q253" i="19"/>
  <c r="Q252" i="19"/>
  <c r="Q251" i="19"/>
  <c r="Q250" i="19"/>
  <c r="Q249" i="19"/>
  <c r="Q248" i="19"/>
  <c r="Q247" i="19"/>
  <c r="Q246" i="19"/>
  <c r="N310" i="19"/>
  <c r="L303" i="19"/>
  <c r="M298" i="19"/>
  <c r="N35" i="19"/>
  <c r="P33" i="19"/>
  <c r="M28" i="19"/>
  <c r="N27" i="19"/>
  <c r="N23" i="19"/>
  <c r="O309" i="19"/>
  <c r="P308" i="19"/>
  <c r="M307" i="19"/>
  <c r="N306" i="19"/>
  <c r="O305" i="19"/>
  <c r="M304" i="19"/>
  <c r="O301" i="19"/>
  <c r="O299" i="19"/>
  <c r="M312" i="19"/>
  <c r="M306" i="19"/>
  <c r="N299" i="19"/>
  <c r="P312" i="19"/>
  <c r="N311" i="19"/>
  <c r="P306" i="19"/>
  <c r="L301" i="19"/>
  <c r="L299" i="19"/>
  <c r="G312" i="19"/>
  <c r="G299" i="19"/>
  <c r="M32" i="19"/>
  <c r="N31" i="19"/>
  <c r="O30" i="19"/>
  <c r="G34" i="19"/>
  <c r="G24" i="19"/>
  <c r="G22" i="19"/>
  <c r="L23" i="19"/>
  <c r="L22" i="19"/>
  <c r="R36" i="19"/>
  <c r="Q214" i="19"/>
  <c r="Q228" i="19"/>
  <c r="L26" i="19"/>
  <c r="L25" i="19"/>
  <c r="L21" i="19"/>
  <c r="Q200" i="19"/>
  <c r="Q199" i="19"/>
  <c r="Q197" i="19"/>
  <c r="Q195" i="19"/>
  <c r="G31" i="19"/>
  <c r="N34" i="19"/>
  <c r="Q144" i="19"/>
  <c r="Q143" i="19"/>
  <c r="Q137" i="19"/>
  <c r="Q134" i="19"/>
  <c r="Q133" i="19"/>
  <c r="Q132" i="19"/>
  <c r="L35" i="19"/>
  <c r="O32" i="19"/>
  <c r="N29" i="19"/>
  <c r="O28" i="19"/>
  <c r="P28" i="19"/>
  <c r="Q116" i="19"/>
  <c r="M34" i="19"/>
  <c r="P24" i="19"/>
  <c r="Q112" i="19"/>
  <c r="Q115" i="19"/>
  <c r="Q108" i="19"/>
  <c r="D36" i="19"/>
  <c r="L30" i="19"/>
  <c r="G30" i="19"/>
  <c r="G28" i="19"/>
  <c r="G27" i="19"/>
  <c r="M35" i="19"/>
  <c r="L32" i="19"/>
  <c r="L24" i="19"/>
  <c r="Q87" i="19"/>
  <c r="Q85" i="19"/>
  <c r="Q82" i="19"/>
  <c r="Q81" i="19"/>
  <c r="N26" i="19"/>
  <c r="L34" i="19"/>
  <c r="L33" i="19"/>
  <c r="L31" i="19"/>
  <c r="L29" i="19"/>
  <c r="J36" i="19"/>
  <c r="E36" i="19"/>
  <c r="G23" i="19"/>
  <c r="G33" i="19"/>
  <c r="O25" i="19"/>
  <c r="O29" i="19"/>
  <c r="O33" i="19"/>
  <c r="M23" i="19"/>
  <c r="L28" i="19"/>
  <c r="K36" i="19"/>
  <c r="O24" i="19"/>
  <c r="H36" i="19"/>
  <c r="I36" i="19"/>
  <c r="N64" i="19"/>
  <c r="Q53" i="19"/>
  <c r="O35" i="19"/>
  <c r="N32" i="19"/>
  <c r="M29" i="19"/>
  <c r="P26" i="19"/>
  <c r="M25" i="19"/>
  <c r="N22" i="19"/>
  <c r="L27" i="19"/>
  <c r="G35" i="19"/>
  <c r="G25" i="19"/>
  <c r="P30" i="19"/>
  <c r="P64" i="19"/>
  <c r="G32" i="19"/>
  <c r="F36" i="19"/>
  <c r="G26" i="19"/>
  <c r="P23" i="19"/>
  <c r="N28" i="19"/>
  <c r="G21" i="19"/>
  <c r="G29" i="19"/>
  <c r="C36" i="19"/>
  <c r="Q63" i="19"/>
  <c r="Q62" i="19"/>
  <c r="Q61" i="19"/>
  <c r="Q60" i="19"/>
  <c r="Q59" i="19"/>
  <c r="Q56" i="19"/>
  <c r="M31" i="19"/>
  <c r="O21" i="19"/>
  <c r="M30" i="19"/>
  <c r="M22" i="19"/>
  <c r="P27" i="19"/>
  <c r="N25" i="19"/>
  <c r="O229" i="19"/>
  <c r="L229" i="19"/>
  <c r="N173" i="19"/>
  <c r="O310" i="19"/>
  <c r="L310" i="19"/>
  <c r="M309" i="19"/>
  <c r="N308" i="19"/>
  <c r="G308" i="19"/>
  <c r="O307" i="19"/>
  <c r="J313" i="19"/>
  <c r="C313" i="19"/>
  <c r="G301" i="19"/>
  <c r="F313" i="19"/>
  <c r="P300" i="19"/>
  <c r="O64" i="19"/>
  <c r="G64" i="19"/>
  <c r="M64" i="19"/>
  <c r="M229" i="19"/>
  <c r="Q215" i="19"/>
  <c r="M301" i="19"/>
  <c r="P302" i="19"/>
  <c r="K313" i="19"/>
  <c r="O298" i="19"/>
  <c r="G298" i="19"/>
  <c r="E313" i="19"/>
  <c r="L257" i="19"/>
  <c r="N201" i="19"/>
  <c r="L201" i="19"/>
  <c r="O173" i="19"/>
  <c r="G173" i="19"/>
  <c r="M146" i="19"/>
  <c r="G92" i="19"/>
  <c r="L311" i="19"/>
  <c r="P311" i="19"/>
  <c r="L307" i="19"/>
  <c r="L304" i="19"/>
  <c r="L302" i="19"/>
  <c r="L300" i="19"/>
  <c r="G300" i="19"/>
  <c r="I313" i="19"/>
  <c r="L298" i="19"/>
  <c r="G305" i="19"/>
  <c r="M305" i="19"/>
  <c r="O304" i="19"/>
  <c r="G303" i="19"/>
  <c r="N303" i="19"/>
  <c r="G310" i="19"/>
  <c r="H313" i="19"/>
  <c r="D313" i="19"/>
  <c r="N298" i="19"/>
  <c r="P257" i="19"/>
  <c r="G306" i="19"/>
  <c r="G304" i="19"/>
  <c r="G307" i="19"/>
  <c r="M299" i="19"/>
  <c r="Q226" i="19"/>
  <c r="Q225" i="19"/>
  <c r="Q224" i="19"/>
  <c r="Q219" i="19"/>
  <c r="Q218" i="19"/>
  <c r="G229" i="19"/>
  <c r="Q198" i="19"/>
  <c r="Q194" i="19"/>
  <c r="Q193" i="19"/>
  <c r="Q191" i="19"/>
  <c r="Q189" i="19"/>
  <c r="Q187" i="19"/>
  <c r="O201" i="19"/>
  <c r="G201" i="19"/>
  <c r="Q169" i="19"/>
  <c r="Q165" i="19"/>
  <c r="Q164" i="19"/>
  <c r="Q162" i="19"/>
  <c r="Q160" i="19"/>
  <c r="M173" i="19"/>
  <c r="Q135" i="19"/>
  <c r="N146" i="19"/>
  <c r="P146" i="19"/>
  <c r="L146" i="19"/>
  <c r="Q117" i="19"/>
  <c r="Q114" i="19"/>
  <c r="Q113" i="19"/>
  <c r="Q111" i="19"/>
  <c r="Q109" i="19"/>
  <c r="Q107" i="19"/>
  <c r="M119" i="19"/>
  <c r="O119" i="19"/>
  <c r="Q88" i="19"/>
  <c r="N92" i="19"/>
  <c r="Q84" i="19"/>
  <c r="L92" i="19"/>
  <c r="Q227" i="19"/>
  <c r="Q223" i="19"/>
  <c r="Q222" i="19"/>
  <c r="Q221" i="19"/>
  <c r="Q220" i="19"/>
  <c r="Q196" i="19"/>
  <c r="Q190" i="19"/>
  <c r="Q188" i="19"/>
  <c r="P201" i="19"/>
  <c r="Q186" i="19"/>
  <c r="Q172" i="19"/>
  <c r="Q171" i="19"/>
  <c r="Q170" i="19"/>
  <c r="Q168" i="19"/>
  <c r="Q167" i="19"/>
  <c r="Q166" i="19"/>
  <c r="Q163" i="19"/>
  <c r="Q161" i="19"/>
  <c r="L173" i="19"/>
  <c r="Q145" i="19"/>
  <c r="Q142" i="19"/>
  <c r="Q141" i="19"/>
  <c r="Q140" i="19"/>
  <c r="Q138" i="19"/>
  <c r="Q136" i="19"/>
  <c r="O146" i="19"/>
  <c r="G146" i="19"/>
  <c r="Q118" i="19"/>
  <c r="Q110" i="19"/>
  <c r="Q106" i="19"/>
  <c r="P119" i="19"/>
  <c r="L119" i="19"/>
  <c r="N119" i="19"/>
  <c r="Q91" i="19"/>
  <c r="Q90" i="19"/>
  <c r="Q89" i="19"/>
  <c r="Q86" i="19"/>
  <c r="Q83" i="19"/>
  <c r="Q80" i="19"/>
  <c r="Q79" i="19"/>
  <c r="Q78" i="19"/>
  <c r="Q77" i="19"/>
  <c r="Q58" i="19"/>
  <c r="Q57" i="19"/>
  <c r="Q55" i="19"/>
  <c r="Q54" i="19"/>
  <c r="Q217" i="19"/>
  <c r="Q216" i="19"/>
  <c r="Q131" i="19"/>
  <c r="Q105" i="19"/>
  <c r="P92" i="19"/>
  <c r="N229" i="19"/>
  <c r="M92" i="19"/>
  <c r="P229" i="19"/>
  <c r="Q104" i="19"/>
  <c r="Q158" i="19"/>
  <c r="F21" i="43"/>
  <c r="I23" i="31"/>
  <c r="I22" i="31"/>
  <c r="V25" i="19" l="1"/>
  <c r="W22" i="19" s="1"/>
  <c r="M25" i="18"/>
  <c r="Q302" i="19"/>
  <c r="Q303" i="19"/>
  <c r="Q308" i="19"/>
  <c r="Q284" i="19"/>
  <c r="Q311" i="19"/>
  <c r="Q309" i="19"/>
  <c r="Q301" i="19"/>
  <c r="Q305" i="19"/>
  <c r="Q33" i="19"/>
  <c r="P133" i="11"/>
  <c r="V133" i="11" s="1"/>
  <c r="I28" i="1"/>
  <c r="Q304" i="19"/>
  <c r="Q310" i="19"/>
  <c r="Q312" i="19"/>
  <c r="Q306" i="19"/>
  <c r="Q257" i="19"/>
  <c r="Q27" i="19"/>
  <c r="Q307" i="19"/>
  <c r="P313" i="19"/>
  <c r="Q201" i="19"/>
  <c r="Q34" i="19"/>
  <c r="Q29" i="19"/>
  <c r="Q146" i="19"/>
  <c r="Q24" i="19"/>
  <c r="Q32" i="19"/>
  <c r="Q28" i="19"/>
  <c r="L36" i="19"/>
  <c r="Q23" i="19"/>
  <c r="Q35" i="19"/>
  <c r="Q26" i="19"/>
  <c r="Q22" i="19"/>
  <c r="Q25" i="19"/>
  <c r="O36" i="19"/>
  <c r="Q21" i="19"/>
  <c r="Q92" i="19"/>
  <c r="M36" i="19"/>
  <c r="Q30" i="19"/>
  <c r="N36" i="19"/>
  <c r="G36" i="19"/>
  <c r="Q31" i="19"/>
  <c r="P36" i="19"/>
  <c r="Q229" i="19"/>
  <c r="Q298" i="19"/>
  <c r="N313" i="19"/>
  <c r="G313" i="19"/>
  <c r="Q173" i="19"/>
  <c r="Q299" i="19"/>
  <c r="M313" i="19"/>
  <c r="O313" i="19"/>
  <c r="Q119" i="19"/>
  <c r="L313" i="19"/>
  <c r="Q300" i="19"/>
  <c r="Q64" i="19"/>
  <c r="W23" i="19" l="1"/>
  <c r="W25" i="19"/>
  <c r="W24" i="19"/>
  <c r="V136" i="11"/>
  <c r="V132" i="11"/>
  <c r="Q36" i="19"/>
  <c r="Q313" i="19"/>
</calcChain>
</file>

<file path=xl/comments1.xml><?xml version="1.0" encoding="utf-8"?>
<comments xmlns="http://schemas.openxmlformats.org/spreadsheetml/2006/main">
  <authors>
    <author>Svein Opøien</author>
  </authors>
  <commentList>
    <comment ref="A1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Sumtabell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1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40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6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93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0.xml><?xml version="1.0" encoding="utf-8"?>
<comments xmlns="http://schemas.openxmlformats.org/spreadsheetml/2006/main">
  <authors>
    <author>Svein Opøien</author>
  </authors>
  <commentList>
    <comment ref="J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1.xml><?xml version="1.0" encoding="utf-8"?>
<comments xmlns="http://schemas.openxmlformats.org/spreadsheetml/2006/main">
  <authors>
    <author>sveinopo</author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2.xml><?xml version="1.0" encoding="utf-8"?>
<comments xmlns="http://schemas.openxmlformats.org/spreadsheetml/2006/main">
  <authors>
    <author>Svein Opøien</author>
  </authors>
  <commentList>
    <comment ref="H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13.xml><?xml version="1.0" encoding="utf-8"?>
<comments xmlns="http://schemas.openxmlformats.org/spreadsheetml/2006/main">
  <authors>
    <author>Svein Opøien</author>
  </authors>
  <commentList>
    <comment ref="G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2.xml><?xml version="1.0" encoding="utf-8"?>
<comments xmlns="http://schemas.openxmlformats.org/spreadsheetml/2006/main">
  <authors>
    <author>sveinopo</author>
  </authors>
  <commentList>
    <comment ref="G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5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3.xml><?xml version="1.0" encoding="utf-8"?>
<comments xmlns="http://schemas.openxmlformats.org/spreadsheetml/2006/main">
  <authors>
    <author>byr35966</author>
  </authors>
  <commentList>
    <comment ref="P1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42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78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18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sveinopo</author>
  </authors>
  <commentList>
    <comment ref="F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H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I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5.xml><?xml version="1.0" encoding="utf-8"?>
<comments xmlns="http://schemas.openxmlformats.org/spreadsheetml/2006/main">
  <authors>
    <author>sveinopo</author>
  </authors>
  <commentList>
    <comment ref="X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Y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Z10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sveinopo</author>
  </authors>
  <commentList>
    <comment ref="I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comments7.xml><?xml version="1.0" encoding="utf-8"?>
<comments xmlns="http://schemas.openxmlformats.org/spreadsheetml/2006/main">
  <authors>
    <author>sveinopo</author>
  </authors>
  <commentList>
    <comment ref="G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J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byr35966</author>
  </authors>
  <commentList>
    <comment ref="N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0" authorId="0">
      <text>
        <r>
          <rPr>
            <b/>
            <sz val="8"/>
            <color indexed="81"/>
            <rFont val="Tahoma"/>
            <family val="2"/>
          </rPr>
          <t>byr35966: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sveinopo</author>
    <author>Svein Opøien</author>
  </authors>
  <commentList>
    <comment ref="A1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Sumtabell</t>
        </r>
      </text>
    </comment>
    <comment ref="G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Q21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4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4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4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4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4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49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49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77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77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7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N7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7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77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77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10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10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10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4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4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G29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L29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  <comment ref="M29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9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9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98" authorId="0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98" authorId="1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formel</t>
        </r>
      </text>
    </comment>
  </commentList>
</comments>
</file>

<file path=xl/sharedStrings.xml><?xml version="1.0" encoding="utf-8"?>
<sst xmlns="http://schemas.openxmlformats.org/spreadsheetml/2006/main" count="2851" uniqueCount="608">
  <si>
    <t>Dette arket inneholder:</t>
  </si>
  <si>
    <t>Sum kvinner og menn</t>
  </si>
  <si>
    <t>Bydel</t>
  </si>
  <si>
    <t>Navn</t>
  </si>
  <si>
    <t>0-17 år</t>
  </si>
  <si>
    <t>18-49 år</t>
  </si>
  <si>
    <t>50-66 år</t>
  </si>
  <si>
    <t>67-74 år</t>
  </si>
  <si>
    <t>75-79 år</t>
  </si>
  <si>
    <t>80-84 år</t>
  </si>
  <si>
    <t>85-89 år</t>
  </si>
  <si>
    <t>SUM</t>
  </si>
  <si>
    <t>67-79 år</t>
  </si>
  <si>
    <t>Sum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</si>
  <si>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</si>
  <si>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</si>
  <si>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</si>
  <si>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</si>
  <si>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</si>
  <si>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</si>
  <si>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</si>
  <si>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</si>
  <si>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</si>
  <si>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</si>
  <si>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</si>
  <si>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</si>
  <si>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</si>
  <si>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</si>
  <si>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</si>
  <si>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personer på venteliste</t>
  </si>
  <si>
    <t>Saksbehandlingstid - antall dager</t>
  </si>
  <si>
    <t>For søknad om institusjons-plass</t>
  </si>
  <si>
    <t>herav for søknad om sykehjems-plass</t>
  </si>
  <si>
    <t>herav for søknad om korttids-opphold</t>
  </si>
  <si>
    <t>herav for søknad om aldershjem-plass</t>
  </si>
  <si>
    <t>herav for søknad om plass i andre boformer med heldøgns pleie og omsorg</t>
  </si>
  <si>
    <t>*) Aritmetisk middelverdi</t>
  </si>
  <si>
    <t>Langtidsopphold</t>
  </si>
  <si>
    <t>SUM 2010</t>
  </si>
  <si>
    <t>Nr.</t>
  </si>
  <si>
    <t>korttidsopphold</t>
  </si>
  <si>
    <t>Ny tabell 2010</t>
  </si>
  <si>
    <t>Tidsbegrenset opphold i sykehjem</t>
  </si>
  <si>
    <t>Opphold i sykehjem</t>
  </si>
  <si>
    <t>Opphold i aldershjem og andre boformer med heldøgns pleie</t>
  </si>
  <si>
    <t>Opphold i MRSA avdeling</t>
  </si>
  <si>
    <t>Opphold i andre boformer med heldøgns omsorg (og evt. pleie)</t>
  </si>
  <si>
    <t>Koblet til 3-5-A</t>
  </si>
  <si>
    <t>Brukere av BARE praktisk bistand</t>
  </si>
  <si>
    <t>Brukere av BEGGE tjenester</t>
  </si>
  <si>
    <t>Sum antall brukere</t>
  </si>
  <si>
    <t>0-49 år</t>
  </si>
  <si>
    <t>Herav psykisk helsarbeid</t>
  </si>
  <si>
    <t>Antall brukere i forhold til innbyggere i aldersgruppen</t>
  </si>
  <si>
    <t xml:space="preserve"> &lt; 67 år</t>
  </si>
  <si>
    <t xml:space="preserve"> 67 - 79 år</t>
  </si>
  <si>
    <t xml:space="preserve">  80-89 år</t>
  </si>
  <si>
    <t xml:space="preserve">  ≥ 90 år</t>
  </si>
  <si>
    <t xml:space="preserve"> SUM  ≥ 80 år</t>
  </si>
  <si>
    <t xml:space="preserve"> SUM  ≥ 67 år</t>
  </si>
  <si>
    <t>Iverksettingstid - antall dager</t>
  </si>
  <si>
    <t>For søknad om praktisk bistand</t>
  </si>
  <si>
    <t>For søknad om hjemme-sykepleie</t>
  </si>
  <si>
    <t>Antall beboere - menn</t>
  </si>
  <si>
    <t>Antall beboere - kvinner</t>
  </si>
  <si>
    <t>Antall beboere - Sum menn og kvinner</t>
  </si>
  <si>
    <t>Eldre</t>
  </si>
  <si>
    <t>Personer med psykiske lidelser</t>
  </si>
  <si>
    <t xml:space="preserve">Sum </t>
  </si>
  <si>
    <t>-herav beboere med Omsorg+ bolig</t>
  </si>
  <si>
    <t>*) Kommunalt eide eller disponerte boenheter, hvor beboer betaler husleie og strøm selv.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</si>
  <si>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</si>
  <si>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</si>
  <si>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</si>
  <si>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</si>
  <si>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</si>
  <si>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</si>
  <si>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</si>
  <si>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</si>
  <si>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</si>
  <si>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</si>
  <si>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</si>
  <si>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</si>
  <si>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</si>
  <si>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</si>
  <si>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</si>
  <si>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</si>
  <si>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</si>
  <si>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</si>
  <si>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</si>
  <si>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</si>
  <si>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</si>
  <si>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</si>
  <si>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</si>
  <si>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</si>
  <si>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</si>
  <si>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</si>
  <si>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</si>
  <si>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</si>
  <si>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</si>
  <si>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SUM 2. tertial 2011</t>
  </si>
  <si>
    <t>xxxxxx</t>
  </si>
  <si>
    <t>1) Gjelder kun for korttidsopphold</t>
  </si>
  <si>
    <t>eller hvis brukeren har flyttet mellom ulike institusjoner (har flere tjester knyttet til samme sak), og tjenestene er sammenhengende,</t>
  </si>
  <si>
    <t>regnes det som et  opphold.</t>
  </si>
  <si>
    <t>Ny tabell fra 31.12.2007.</t>
  </si>
  <si>
    <t>SUM 2011</t>
  </si>
  <si>
    <t>SUM 2012</t>
  </si>
  <si>
    <t xml:space="preserve"> </t>
  </si>
  <si>
    <t>Langtidsopphold i sykehjem</t>
  </si>
  <si>
    <t>1) Opphold med pleie og rehabilitering  (vedtak etter lov om kommunale helse- og omsorgstjenester)</t>
  </si>
  <si>
    <t>2) Dagsenter/ dagtilbud (vedtak etter lov om kommunale helse- og omsorgstjenester eller uhjemlet vedtak)</t>
  </si>
  <si>
    <t xml:space="preserve">Lavterskeltilbud/ åpne kommunale tilbud der personer kan komme og gå uten avtale er ikke inkludert. </t>
  </si>
  <si>
    <t>Korttids-opphold for re-habilitering</t>
  </si>
  <si>
    <t>Korttids-opphold (eksklusive korttids-opphold for re-habilitering)</t>
  </si>
  <si>
    <t>Langtids-opphold - ordinært</t>
  </si>
  <si>
    <t>Langtids-opphold -  skjermet enhet for demens</t>
  </si>
  <si>
    <t>Langtids-opphold rus</t>
  </si>
  <si>
    <t>Herav praktisk bistand daglige gjøremål, egenomsorg og personlig stell</t>
  </si>
  <si>
    <t xml:space="preserve"> Totalt antall utførte  timer praktisk bistand</t>
  </si>
  <si>
    <t xml:space="preserve"> Totalt antall vedtatte  timer praktisk bistand</t>
  </si>
  <si>
    <t xml:space="preserve"> Totalt antall utførte  timer praktisk bistand utført av private leverandører</t>
  </si>
  <si>
    <t>Totalt antall utførte timer hjemme-sykepleie utført av private leverandører</t>
  </si>
  <si>
    <t>Andel utførte timer praktisk bistand</t>
  </si>
  <si>
    <t>Andel utførte timer hjemme-sykepleie</t>
  </si>
  <si>
    <t>Tabell 3 -7 - A1 -  Saksbehandlingstider i pleie- og omsorgssektoren - hjemmetjenester hittil i år</t>
  </si>
  <si>
    <t>xxx</t>
  </si>
  <si>
    <t>* Inkluderer brukere som bor i boliger til pleie- og omsorgsformål</t>
  </si>
  <si>
    <t xml:space="preserve">Merk: Det er bare opphold som er avsluttet i inneværende år som kommer med i rapporten . Hvis sak/tjeneste revurderes, </t>
  </si>
  <si>
    <t>2) Rapporten teller bakover til førstegangsinnleggelsesdatoen på opphold som er påbegynt også tidligere år.  Dvs at rapporten viser</t>
  </si>
  <si>
    <t>Antall avsluttede opphold (korttids) hittil i år 1)</t>
  </si>
  <si>
    <t>Tabell 3-8-A - Antall personer som har hatt dagsenter/dagsopphold/dagtilbud og totalt antall vedtakstimer, fordelt på type tjeneste - hittil i år</t>
  </si>
  <si>
    <t>SUM 3. tertial 2013</t>
  </si>
  <si>
    <t>SUM pr. 3. tertial 2013</t>
  </si>
  <si>
    <t>Tabellen beregnes ved prosentformler</t>
  </si>
  <si>
    <t>Kun årsstatistikk</t>
  </si>
  <si>
    <t>Antall liggedøgn etter meldt utskrivningsklare totalt</t>
  </si>
  <si>
    <t>Antall meldt utskrivningsklare i år</t>
  </si>
  <si>
    <t>Betalt til sykehus  (1 000 kroner)</t>
  </si>
  <si>
    <t>I somatiske sykehus-avd.</t>
  </si>
  <si>
    <t>I psykiatriske sykehus-avd.</t>
  </si>
  <si>
    <t>Sum pr. 31.12/.2007 / hele 2007</t>
  </si>
  <si>
    <t>Sum pr. 31.12/.2007 / hele 2006</t>
  </si>
  <si>
    <t xml:space="preserve"> -</t>
  </si>
  <si>
    <t>Sum hele 2012</t>
  </si>
  <si>
    <t>Sum hele 2013</t>
  </si>
  <si>
    <t xml:space="preserve">Tabell 3 -2 - C -  Utskrivningsklare pasienter i somatiske og psykiatriske sykehusavdelinger </t>
  </si>
  <si>
    <t>Tidsbegrenset opphold</t>
  </si>
  <si>
    <t>Antall søknader om sykehjemsplass, overf. fra forrige år</t>
  </si>
  <si>
    <t>Antall søknader om sykehjemsplass i år</t>
  </si>
  <si>
    <t>Antall innvilgede søknader om sykehjemsplass</t>
  </si>
  <si>
    <t>Antall saker som er trukket</t>
  </si>
  <si>
    <t>Antall avslåtte søknader om sykehjemsplass</t>
  </si>
  <si>
    <t>Antall saker fortsatt under behandling, overf. neste år</t>
  </si>
  <si>
    <t>Prosent innvilgede søknader</t>
  </si>
  <si>
    <t>SUM 2013</t>
  </si>
  <si>
    <t>Tabell 3 -2 - E - Klager etter avslag på sykehjemsplass i år</t>
  </si>
  <si>
    <t xml:space="preserve"> Antall vedtak omgjort av bydelen som følge av klage</t>
  </si>
  <si>
    <t>Sum antall vedtak omgjort som følge av klage</t>
  </si>
  <si>
    <t>3-2-F Alternativt tilbud til personer som har fått avslag på søknad om langtidsopphold i sykehjem</t>
  </si>
  <si>
    <t>Herav antall som har fått andre tilbud (spesifiser under)</t>
  </si>
  <si>
    <t>Sum antall personer som har fått alternativt tilbud</t>
  </si>
  <si>
    <t>Herav antall som har fått vedtak om kun praktisk bistand</t>
  </si>
  <si>
    <t>1) Noen personer har fått flere enn et alternativt tilbud. Disse blir regnet med flere ganger.</t>
  </si>
  <si>
    <t>Gjennomsnitt for bydeler som har registrert saksbehandlingstid</t>
  </si>
  <si>
    <t xml:space="preserve">Gjennomsnitt 2013 </t>
  </si>
  <si>
    <t>Antall beboere som har avsluttet opphold (korttids) i sykehjem hittil i år</t>
  </si>
  <si>
    <t>Antall beboere som har avsluttet opphold (langtids) i sykehjem hittil i år</t>
  </si>
  <si>
    <t>Antall liggedøgn totalt for alle beboere som har avsluttet sitt langtids-opphold hittil i år 2)</t>
  </si>
  <si>
    <t>SUM totalt</t>
  </si>
  <si>
    <t>Tabell 3-4 - A - Egenbetaling for heldøgnsplasser i eldreomsorgsinstitusjoner som bydelen disponerer</t>
  </si>
  <si>
    <t>Tabell 3-4 - B1 - HMS i pleie- og omsorgssektoren - internkontroll i helse- og sosialtjenesten</t>
  </si>
  <si>
    <t>I hele 1000 kroner</t>
  </si>
  <si>
    <t>I hele kroner</t>
  </si>
  <si>
    <t>Internkontroll i 2006</t>
  </si>
  <si>
    <t>Internkontroll i 2007</t>
  </si>
  <si>
    <t>Internkontroll i 2008</t>
  </si>
  <si>
    <t>Internkontroll</t>
  </si>
  <si>
    <t>Regnskapsført trygdetrekk</t>
  </si>
  <si>
    <t>Regnskapsført egenbetaling utover trygdetrekk</t>
  </si>
  <si>
    <t>Antall plasser som inntektene relaterer seg til</t>
  </si>
  <si>
    <t>Gjennomsnitt trygdetrekk pr. plass pr. år</t>
  </si>
  <si>
    <t>Gjennomsnitt egenbetaling pr. plass pr. år</t>
  </si>
  <si>
    <t>Gjennomsnitt samlet inntekt pr. plass pr. år</t>
  </si>
  <si>
    <t>Avvik fra bygjennomsnitt i %</t>
  </si>
  <si>
    <t>Har bydelen etablert et skriftlig system for intern-kontroll i sosial- og helsetjenesten?</t>
  </si>
  <si>
    <t>Når ble dette systemet sist revidert?</t>
  </si>
  <si>
    <t>Ja</t>
  </si>
  <si>
    <t>06</t>
  </si>
  <si>
    <t>nov 07</t>
  </si>
  <si>
    <t>ja</t>
  </si>
  <si>
    <t>12/2006</t>
  </si>
  <si>
    <t>10/2007</t>
  </si>
  <si>
    <t>09/06</t>
  </si>
  <si>
    <t>JA</t>
  </si>
  <si>
    <t>04/03</t>
  </si>
  <si>
    <t>11/06</t>
  </si>
  <si>
    <t>08/07</t>
  </si>
  <si>
    <t>Delvis</t>
  </si>
  <si>
    <t>0</t>
  </si>
  <si>
    <t>?</t>
  </si>
  <si>
    <t>05/2005</t>
  </si>
  <si>
    <t>12/07</t>
  </si>
  <si>
    <t>07/07</t>
  </si>
  <si>
    <t>06/05</t>
  </si>
  <si>
    <t>8/2006</t>
  </si>
  <si>
    <t>02/07</t>
  </si>
  <si>
    <t>05/06</t>
  </si>
  <si>
    <t>05/07</t>
  </si>
  <si>
    <t>06/06</t>
  </si>
  <si>
    <t>01/2007</t>
  </si>
  <si>
    <t>Nei</t>
  </si>
  <si>
    <t xml:space="preserve">SUM </t>
  </si>
  <si>
    <t xml:space="preserve"> - </t>
  </si>
  <si>
    <t>Tabell 3-7 -  Brukerundersøkelse og kvalitetsmåling i hjemmetjenesten</t>
  </si>
  <si>
    <t>Kvalitetsrevisjon i hjemmetjenesten</t>
  </si>
  <si>
    <t xml:space="preserve">Andel fornøyde brukere i %  </t>
  </si>
  <si>
    <t>Tidspunkt for måling (måned/år)</t>
  </si>
  <si>
    <t>Er det gjennomført kvalitetsrevisjon i hjemmetjenesten i løpet av året</t>
  </si>
  <si>
    <t>Har kvalitetsrevisjonen avdekket større avvik</t>
  </si>
  <si>
    <t>Sum pr 31.12.13</t>
  </si>
  <si>
    <t>Antall søknader om bolig omsorg +, overf. fra forrige år</t>
  </si>
  <si>
    <t>Antall søknader om bolig omsrog+ i år</t>
  </si>
  <si>
    <t>Antall innvilgede søknader om bolig omsorg+</t>
  </si>
  <si>
    <t>Antall avslåtte søknader om bolg omsorg+</t>
  </si>
  <si>
    <t>Antall klager etter avslag på bolig i Omsorg+ i år som fortsatt er under behandling i bydelen</t>
  </si>
  <si>
    <t>Antall klager etter avslag på bolig i Omsorg+ i år som fortsatt er under behandling hos Oslo klagenemd</t>
  </si>
  <si>
    <t>Antall totalt</t>
  </si>
  <si>
    <t>Herav antall med vedtak</t>
  </si>
  <si>
    <t>0-15 år</t>
  </si>
  <si>
    <t>16-49 år</t>
  </si>
  <si>
    <t>50 år og over</t>
  </si>
  <si>
    <t>Tabell 3 -11 - A -  Boforhold for utviklingshemmede pr. 31.12.</t>
  </si>
  <si>
    <t>Antall personer</t>
  </si>
  <si>
    <t>Bor i egen selvstendig bolig  (m/u hj.tjen.)</t>
  </si>
  <si>
    <t xml:space="preserve">Bor i bofelles-skap/sam-lokalisert bolig  </t>
  </si>
  <si>
    <t>Utviklings-hemmet &lt; 18 år som bor hos pårørende</t>
  </si>
  <si>
    <t>Utviklings-hemmet ≥18 år som bor hos pårørende</t>
  </si>
  <si>
    <t>Boform for heldøgns pleie og omsorg</t>
  </si>
  <si>
    <t>Sum antall utviklings-hemmet som bor hos pårørende</t>
  </si>
  <si>
    <t>SUM utviklings-hemmede i alt</t>
  </si>
  <si>
    <t xml:space="preserve">Tabell 3-12 - Aktiviteter for psykisk utviklingshemmede i regi av bydelen - inkl. plasser kjøpt fra andre - pr. 31.12  *) </t>
  </si>
  <si>
    <t>Herav antall personer som</t>
  </si>
  <si>
    <t>Antall utviklings-hemmede i bydelen ≥ 21 år</t>
  </si>
  <si>
    <t>Ikke har aktiviteter på dagtid</t>
  </si>
  <si>
    <t>Har aktiviteter på dagtid 1 - 2 dager/uke</t>
  </si>
  <si>
    <t>Har aktiviteter på dagtid 3 - 4 dager/uke</t>
  </si>
  <si>
    <t>Har aktiviteter på dagtid 5 dager/uke</t>
  </si>
  <si>
    <t>Kontrollsum</t>
  </si>
  <si>
    <t>Tabell 3 -14 - A1 -  Eldresentre - personell og årsverk pr. 31.12.</t>
  </si>
  <si>
    <t>Tabell 3 -14 - A2 -  Eldresentre - brukere pr. 31.12.</t>
  </si>
  <si>
    <t>Antall årsverk</t>
  </si>
  <si>
    <t>Inngått driftsavtale</t>
  </si>
  <si>
    <t>Fast ansatte</t>
  </si>
  <si>
    <t>Frivillige</t>
  </si>
  <si>
    <t>Sum årsverk</t>
  </si>
  <si>
    <t>Antall hjemler</t>
  </si>
  <si>
    <t>Senter 1</t>
  </si>
  <si>
    <t>Senter 2</t>
  </si>
  <si>
    <t>Senter 3</t>
  </si>
  <si>
    <t>Senter 4</t>
  </si>
  <si>
    <t>Senter 5</t>
  </si>
  <si>
    <t>Senter 6</t>
  </si>
  <si>
    <t>Sum 2013</t>
  </si>
  <si>
    <t>3-14-C ORGANISERING AV SENIORVEILEDERTJENESTE I BYDELEN</t>
  </si>
  <si>
    <t>Er ikke etablert</t>
  </si>
  <si>
    <t>Er tilknyttet eldre-senteret</t>
  </si>
  <si>
    <t>Er tilknyttet hjemmetjenesten</t>
  </si>
  <si>
    <t>Tabell 3-2-E-1 Saksbehandlingstid - klager etter avslag på søknad om sykehjemsplass i år</t>
  </si>
  <si>
    <t>Tabell 3 -2 - B -  Saksbehandlingstider i pleie- og omsorgssektoren - institusjonstjenesten - hittil i år</t>
  </si>
  <si>
    <t xml:space="preserve">Antall klager etter avslag på bolig i Omsorg+ </t>
  </si>
  <si>
    <t xml:space="preserve">Antall vedtak omgjort av bydelen som følge av klage </t>
  </si>
  <si>
    <t xml:space="preserve">Antall klager som er anket videre til Oslo klagenemd </t>
  </si>
  <si>
    <t xml:space="preserve">Antall vedtak omgjort av Oslo klagenemd som følge av klage </t>
  </si>
  <si>
    <t xml:space="preserve">Sum antall vedtak omgjort som følge av klage </t>
  </si>
  <si>
    <t>Antall klager som er anket videre til Fylkes-mannen</t>
  </si>
  <si>
    <t>Antall vedtak omgjort av Fylkes-mannen som følge av klage</t>
  </si>
  <si>
    <t>Antall klager etter avslag på sykehjems-plass i år som fortsatt er under behandling i bydelen</t>
  </si>
  <si>
    <t>Antall klager etter avslag på sykehjems-plass i år som fortsatt er under behandling hos Fylkes-mannen</t>
  </si>
  <si>
    <t>Antall personer som har fått endelig avslag på søknad om langtids-opphold i sykehjem</t>
  </si>
  <si>
    <t xml:space="preserve">Herav antall som har fått vedtak om kun hjemme-sykepleie </t>
  </si>
  <si>
    <t>Herav antall som har fått vedtak om både praktisk bistand og hjemme-sykepleie</t>
  </si>
  <si>
    <t>Opphold i plass for for lindrende behand-ling</t>
  </si>
  <si>
    <t>Langtids-opphold -  for-sterket  (psykiatri, rus)</t>
  </si>
  <si>
    <t>Langtids-opphold for-sterket - annet</t>
  </si>
  <si>
    <t>Langtids-opphold -  spesial (særskilt inngåtte kontrakter om enkelt-kjøp)</t>
  </si>
  <si>
    <t>Langtids-opphold i alders-hjem</t>
  </si>
  <si>
    <t>Opphold i barne og av-lastnings-bolig</t>
  </si>
  <si>
    <t>Antall søknader om sykehjems-plass, overf. fra forrige år</t>
  </si>
  <si>
    <t>Antall søknader om sykehjems-plass i år</t>
  </si>
  <si>
    <t>Antall innvilgede søknader om sykehjems-plass</t>
  </si>
  <si>
    <t>Antall avslåtte søknader om sykehjems-plass</t>
  </si>
  <si>
    <t xml:space="preserve">Herav antall som har fått vedtak om plass i dagopphold i institusjon (vedtak hjemlet i Lov om helse-tjenesten i kommunene) </t>
  </si>
  <si>
    <t>Herav antall som har fått vedak om tids-begrenset opphold i syke-hjem</t>
  </si>
  <si>
    <t>Herav antall som har fått vedtak om plass i dagsenter (ikke lov-hjemlet vedtak)</t>
  </si>
  <si>
    <t>Sum antall personer som har fått alter-nativt tilbud 1)</t>
  </si>
  <si>
    <t>Funk-sjons-hem-mede</t>
  </si>
  <si>
    <t>Ut-viklings-hem-mede</t>
  </si>
  <si>
    <t>SUM 3. tertial 2014</t>
  </si>
  <si>
    <t>Andel brukere som har valgt privat leverandør</t>
  </si>
  <si>
    <t>SUM 2014</t>
  </si>
  <si>
    <t>Sum hele 2014</t>
  </si>
  <si>
    <t>Ant. saker som ikke er beh. av andre årsaker (dødfall mm)</t>
  </si>
  <si>
    <t>Antall søknader, overf. fra forrige år</t>
  </si>
  <si>
    <t>Antall søknader i år</t>
  </si>
  <si>
    <t>Antall avslåtte søknader om plass etter sambogarantien</t>
  </si>
  <si>
    <t>Tabell 3-2-D-1  - Søknader og avslag om plass etter sambogarantien</t>
  </si>
  <si>
    <t>Antall klager etter avslag på sykehjemsplass i år som er trukket eller avsluttet fordi de ikke lenger er aktuelle</t>
  </si>
  <si>
    <t xml:space="preserve">Gjennomsnitt 2014 </t>
  </si>
  <si>
    <t>SUM pr. 3. tertial 2014</t>
  </si>
  <si>
    <t xml:space="preserve">Brukerundersøkelse i hjemmesykepleien </t>
  </si>
  <si>
    <t xml:space="preserve">Brukerundersøkelse i praktisk bistand </t>
  </si>
  <si>
    <t>Sum pr 31.12.14</t>
  </si>
  <si>
    <t>xxxx</t>
  </si>
  <si>
    <t>Antall saker som av andre årsaker ikke er beh. (dødsfall mm)</t>
  </si>
  <si>
    <t xml:space="preserve">  </t>
  </si>
  <si>
    <t>Sum 2014</t>
  </si>
  <si>
    <t xml:space="preserve">Tabell 3 -9 -B - Søknader og avslag på søknad om bolig i Omsorg+ </t>
  </si>
  <si>
    <t>Antall klager etter avslag på Omsorg+ i år som er trukket eller avsluttet fordi de ikke lenger er aktuelle</t>
  </si>
  <si>
    <t xml:space="preserve">Tabell 3-9-C Klager etter avslag på søknad om Omsorg+ </t>
  </si>
  <si>
    <t>Bydel Søndre Nordstrand 1)</t>
  </si>
  <si>
    <t>1) Seniorveileder er tilknyttet rehabiliteringstjenesten</t>
  </si>
  <si>
    <t xml:space="preserve">Årsverk </t>
  </si>
  <si>
    <t>Inngåtte driftsavtaler -  Nei - betyr ofte kommunal tjeneste der det ikke inngås driftsavtaler.</t>
  </si>
  <si>
    <t>90-94 år</t>
  </si>
  <si>
    <t>95 år +</t>
  </si>
  <si>
    <t>Antall vedtakstimer</t>
  </si>
  <si>
    <t>Antall utførte timer</t>
  </si>
  <si>
    <t>Andel utførte av vedtatte timer</t>
  </si>
  <si>
    <t>Gj.snittlig antall utførte vedtakstimer pr mottager</t>
  </si>
  <si>
    <t>1) Bistand til opplæring av funksjons- og mestringsevne i dagliglivets gjøremål i brukers hjem eller nærmiljø</t>
  </si>
  <si>
    <t>Antall mottagere av hverdags-rehabilitering</t>
  </si>
  <si>
    <t>* Ny tabell 2. tertial 2015</t>
  </si>
  <si>
    <t>SUM 3. tertial 2015</t>
  </si>
  <si>
    <t>SUM 2015</t>
  </si>
  <si>
    <t>Sum hele 2015</t>
  </si>
  <si>
    <t xml:space="preserve">Gjennomsnitt 2015 </t>
  </si>
  <si>
    <t>SUM pr. 3. tertial 2015</t>
  </si>
  <si>
    <t>Sum 2015</t>
  </si>
  <si>
    <t>Bydel Frogner 3)</t>
  </si>
  <si>
    <t>Bydel Vestre Aker 3)</t>
  </si>
  <si>
    <t>Netto justering - institusjon m/ utenbys og Omsorg +</t>
  </si>
  <si>
    <t>Utenbys beboere 67+ år med adresse "uoppgitt Oslo"</t>
  </si>
  <si>
    <t>Sum antall innbyggere 3)</t>
  </si>
  <si>
    <t xml:space="preserve"> - andel av innb.  &lt; 67 år  2)</t>
  </si>
  <si>
    <t xml:space="preserve"> - andel av innb.       67 - 79 år  2)</t>
  </si>
  <si>
    <t xml:space="preserve"> - andel av innb.       80 - 89 år  2)</t>
  </si>
  <si>
    <t xml:space="preserve"> - andel av innb.   ≥ 90 år    2)</t>
  </si>
  <si>
    <t xml:space="preserve"> - andel av innb.   ≥ 80 år    2)</t>
  </si>
  <si>
    <t xml:space="preserve"> - andel av innb.    ≥ 67 år    2)</t>
  </si>
  <si>
    <t>Sum pr 31.12.15</t>
  </si>
  <si>
    <t>Tabell 3 -10 - A - Personer med utviklingshemming registrert i bydelen (som bydelen har øk. Ansv. for) pr. 31.12</t>
  </si>
  <si>
    <t xml:space="preserve">Bydel Frogner </t>
  </si>
  <si>
    <t xml:space="preserve">Bydel Ullern </t>
  </si>
  <si>
    <t xml:space="preserve">Bydel Bjerke </t>
  </si>
  <si>
    <t xml:space="preserve">Bydel Grorud </t>
  </si>
  <si>
    <t>Personer med individuell alarm til innendørs bruk (trygghetspakke 1)</t>
  </si>
  <si>
    <t>Personer med individuell bærbar alarm til inne- og utebruk  (trygghetspakke 2)</t>
  </si>
  <si>
    <t>Antall innstallerte e-låser</t>
  </si>
  <si>
    <t>Antall tildelte medisin-dispensere</t>
  </si>
  <si>
    <t>Personer med trygghetsalarm med lokaliserings-teknologi (trygghetspakke 3)</t>
  </si>
  <si>
    <t>Tabell 3-2-D  - Søknader og avslag på sykehjemsplass</t>
  </si>
  <si>
    <t>Gjennomsnitt 2014</t>
  </si>
  <si>
    <t>Gjennomsnitt 2015</t>
  </si>
  <si>
    <t xml:space="preserve">             </t>
  </si>
  <si>
    <t xml:space="preserve">    </t>
  </si>
  <si>
    <t>SUM 3. tertial 2016</t>
  </si>
  <si>
    <t>SUM 2016</t>
  </si>
  <si>
    <t xml:space="preserve">Gjennomsnitt 2016 </t>
  </si>
  <si>
    <t>By-del</t>
  </si>
  <si>
    <t>Sum hele 2016</t>
  </si>
  <si>
    <t>SUM pr. 3. tertial 2016</t>
  </si>
  <si>
    <t>1)  Inkluderer brukere som også har vedtak om bolig til pleie- og omsorgsformål</t>
  </si>
  <si>
    <t>Gjennomsnitt 2016</t>
  </si>
  <si>
    <t>Sum pr 31.12.16</t>
  </si>
  <si>
    <t>Kun summeringstabell publiseres</t>
  </si>
  <si>
    <t>Sum 2016</t>
  </si>
  <si>
    <t>SUM 2. tertial 2017</t>
  </si>
  <si>
    <t>Tabell 3-3 - B - Gjennomsnittlig antall oppholdsdøgn i sykehjem for beboere som har avsluttet sitt opphold hittil i år.</t>
  </si>
  <si>
    <t>Gjennomsnittlig antall oppholds-døgn per beboer (langtid) 2)</t>
  </si>
  <si>
    <t>Gjennomsnittlig antall oppholds-døgn per opphold (korttid) 2)</t>
  </si>
  <si>
    <t>Antall oppholds-døgn totalt for alle beboere som har avsluttet sitt korttids-opphold hittil i år 2)</t>
  </si>
  <si>
    <t>Gjennomsnittlig antall oppholds-døgn per beboer (korttid) 2)</t>
  </si>
  <si>
    <t>Tabell 3-3 - C - 4- Antall  oppholdsdøgn totalt i syke- og aldershjem fordelt på type opphold (Kostrafunksjon 253 - institusjonstjenester) - SUM - hittil i år</t>
  </si>
  <si>
    <t>Tabell 3-3 - C - 1- Antall  oppholdsdøgn totalt i syke- og aldershjem fordelt på type opphold (Kostrafunksjon 253 - institusjonstjenester) - Kjøp fra SYE - hittil i år</t>
  </si>
  <si>
    <t>Tabell 3-3 - C - 2- Antall  oppholdsdøgn totalt i syke- og aldershjem fordelt på type opphold (Kostrafunksjon 253 - institusjonstjenester) - Kjøp fra andre innenbys/utenbys - hittil i år</t>
  </si>
  <si>
    <t>Tabell 3-3 - C - 3- Antall  oppholdsdøgn totalt i syke- og aldershjem fordelt på type opphold (Kostrafunksjon 253 - institusjonstjenester) - Drevet av bydelene selv - hittil i år</t>
  </si>
  <si>
    <t xml:space="preserve">Sum dag-senter/-dag-tilbud </t>
  </si>
  <si>
    <t>Gerica-tjeneste Dag-senter 2)</t>
  </si>
  <si>
    <t>Gerica-tjeneste Dag-senter for fysisk funksjons-hemmede 2)</t>
  </si>
  <si>
    <t>Gerica-tjeneste Dagtilbud for psykisk utviklings-hemmede 2)</t>
  </si>
  <si>
    <t>Antall vedtakstimer pr person</t>
  </si>
  <si>
    <t>Dagaktivitetstilbud for demente i bydelens regi</t>
  </si>
  <si>
    <t>Dagaktivitetstilbud for demente, kjøp fra andre</t>
  </si>
  <si>
    <t>Tabell 3 -8 - A-2 - Dagaktivitetstilbud for demente - hittil i år</t>
  </si>
  <si>
    <t>Tabell 1 - 16 - A - Fysioterapitilbud i bydelen 1)</t>
  </si>
  <si>
    <t>Antall stillinger</t>
  </si>
  <si>
    <t>SUM pr. 31.12.2016</t>
  </si>
  <si>
    <t>SUM pr. 31.12.2015</t>
  </si>
  <si>
    <t>Antall avtalte årsverk</t>
  </si>
  <si>
    <t>Fysio-terapeuter med driftsavtale</t>
  </si>
  <si>
    <t>Fast-lønnede fysio-terapeuter</t>
  </si>
  <si>
    <t>Turnus-kandidater</t>
  </si>
  <si>
    <t>Totalt antall årsverk fysio-terapeuter i bydelen</t>
  </si>
  <si>
    <t>Totalt antall stillinger fysio-terapeuter i bydelen</t>
  </si>
  <si>
    <t>1) Alle fysioterpeuter i bydelen skal registreres, uavhenfig av Kostrafunksjon</t>
  </si>
  <si>
    <t>Tabell 1 - 16 - B - Psykologer i bydelen 1)</t>
  </si>
  <si>
    <t>Psykologer</t>
  </si>
  <si>
    <t>1) Alle psykologer i bydelen skal registreres, uavhenfig av Kostrafunksjon</t>
  </si>
  <si>
    <t>SUM pr 31.08.2017</t>
  </si>
  <si>
    <t xml:space="preserve">Dagaktivitetstilbud for demente kan eksempelvis være registrert som gericatjenesten Dagsenter. </t>
  </si>
  <si>
    <t>Tjenesten vil derfor også kunne være inkludert i tab 3-8-A-1.</t>
  </si>
  <si>
    <t>SUM pr 31.12.2017</t>
  </si>
  <si>
    <t>SUM pr. 31.12.2017</t>
  </si>
  <si>
    <t>SUM 3. tertial 2017</t>
  </si>
  <si>
    <t>SUM 2017</t>
  </si>
  <si>
    <t>Gjennomsnitt 2017</t>
  </si>
  <si>
    <t>SUM pr. 3. tertial 2017</t>
  </si>
  <si>
    <t>Over 14 dager</t>
  </si>
  <si>
    <t>14 dager eller under</t>
  </si>
  <si>
    <t>Venter i eget hjem</t>
  </si>
  <si>
    <t>Venter i korttidsplass</t>
  </si>
  <si>
    <t>Antall som venter - ventetid    1)</t>
  </si>
  <si>
    <t>Venter i andre typer institusjoner</t>
  </si>
  <si>
    <t>Antall personer som bor i sykehjem, men som iht. til fritt sykehjemsvalg venter på plass i et annet bestemt sykehjem - ventetid</t>
  </si>
  <si>
    <t>Antall klager etter avslag på syke-hjems-plass</t>
  </si>
  <si>
    <t>Antall klager etter avslag på sykehjems-plass i år som fortsatt er under behand-ling i bydelen</t>
  </si>
  <si>
    <t xml:space="preserve">Gjennomsnitt 2017 </t>
  </si>
  <si>
    <t>Saksbehandlings-tid fra mottatt klage til saken er avgjort hos Fylkesmannen</t>
  </si>
  <si>
    <t>Tabell 3-6 - A -  Andel brukere av hjemmetjenester pr. 31.12. av antall innbyggere i samme aldersgruppe.   1)</t>
  </si>
  <si>
    <t xml:space="preserve">Rapporteres annet hvert år </t>
  </si>
  <si>
    <t>Sum pr 31.12.17</t>
  </si>
  <si>
    <t>s</t>
  </si>
  <si>
    <t>Sum 2017</t>
  </si>
  <si>
    <t>nei</t>
  </si>
  <si>
    <t>Ny tabell 2017</t>
  </si>
  <si>
    <t>Over 14 dager 2)</t>
  </si>
  <si>
    <t>1) Personer som har fått tilbud om plass, men som har takket nei i påvente av tilbud på et bestemt sykehjem er inkludert i tallene.</t>
  </si>
  <si>
    <t xml:space="preserve">Antall innvilgede søknader </t>
  </si>
  <si>
    <t>Saksbehandlings-tid fra mottatt klage til nytt vedtak er fattet i bydelen</t>
  </si>
  <si>
    <t xml:space="preserve">Herav antall som har fått andre tilbud </t>
  </si>
  <si>
    <t>Dagsenter  - gerica-tjeneste dag-re-habilitering 1)</t>
  </si>
  <si>
    <t>3) Enkelte bydeler fører ikke timevedtak for tjenesten dagrehabilitering</t>
  </si>
  <si>
    <t>% SYE</t>
  </si>
  <si>
    <t>% kjøpt fra andre innenbys/ utenbys</t>
  </si>
  <si>
    <t>% drevet av bydelen selv</t>
  </si>
  <si>
    <t>SUM pr 31.08.2018</t>
  </si>
  <si>
    <t>SUM pr. 2. tertial 2018</t>
  </si>
  <si>
    <t>SUM 2. tertial 2018</t>
  </si>
  <si>
    <t>Omsorg + 0-67</t>
  </si>
  <si>
    <t>Omsorg + 67-79</t>
  </si>
  <si>
    <t>Omsorg + 80 år +</t>
  </si>
  <si>
    <t>Andel</t>
  </si>
  <si>
    <t>90 år +</t>
  </si>
  <si>
    <t>SUM 3. tertial 2018</t>
  </si>
  <si>
    <t>SUM pr. 3. tertial 2018</t>
  </si>
  <si>
    <t>Tabell 3 - 5 - B - A3 - Antall utførte timer i hjemmetjenesten - hittil i år</t>
  </si>
  <si>
    <t>Tabell 3 - 5 - B - A4- Antall utførte timer i hjemmetjenesten - herav utført av private leverandører - hittil i år</t>
  </si>
  <si>
    <t>Tabell 3 - 5 - B - A2 - Antall vedtakstimer i hjemmetjenesten - hittil i år</t>
  </si>
  <si>
    <t>Sum hele 2018</t>
  </si>
  <si>
    <t>Antall liggedøgn etter meldt utskrivningsklare som bydelene har betalt for</t>
  </si>
  <si>
    <t>Pris/bot pr overliggerdøgn</t>
  </si>
  <si>
    <t>Sum hele 2017</t>
  </si>
  <si>
    <t>SUM 2018</t>
  </si>
  <si>
    <t>Bydel Ullern 1)</t>
  </si>
  <si>
    <t>1) I Bydel Ullern er tre personer over 21 år med utviklingshemming på sykehjem</t>
  </si>
  <si>
    <t>SUM pr 31.12.2018</t>
  </si>
  <si>
    <t>SUM pr. 31.12.2018</t>
  </si>
  <si>
    <t>Gjennomsnitt 2018</t>
  </si>
  <si>
    <t>Gjennomsnitt 2013</t>
  </si>
  <si>
    <t xml:space="preserve">Gjennomsnitt 2018 </t>
  </si>
  <si>
    <t>12/19</t>
  </si>
  <si>
    <t>Sum pr 31.12.18</t>
  </si>
  <si>
    <t>Sum 2018</t>
  </si>
  <si>
    <t>Kontroll:</t>
  </si>
  <si>
    <t xml:space="preserve">Ja </t>
  </si>
  <si>
    <t>Antall 18 år og over</t>
  </si>
  <si>
    <t>SUM 1. kvartal 2019</t>
  </si>
  <si>
    <t>80-89 år</t>
  </si>
  <si>
    <t>LIV</t>
  </si>
  <si>
    <t>Barnebolger og avlastningsboliger</t>
  </si>
  <si>
    <t>Herunder tjenestene langtidsopphold i sykehjem, institusjonsplass psykiatri, spesialsykehjem for yngre, aldershjem, langtidsopphold i bosenter</t>
  </si>
  <si>
    <t>Korttidsopphold - avlastning (eldre), korttidsopphold- avlastning (eldre) - rullerende, korttidsopphold - rehabilitering, korttidsopphold- utredning/behandling, korrtidsopphold - annet, korttidsopphold - akuttplass, korttidsopphold - rullerende</t>
  </si>
  <si>
    <t>SUM 2. tertial 2019</t>
  </si>
  <si>
    <t>Av sum kvinner og menn i institusjon - herav i boform m/heldøgns pleie og omsorg</t>
  </si>
  <si>
    <t>90 år og over</t>
  </si>
  <si>
    <t>gjennomsnittlig lengde for sykehjemsopphold som er avsluttet hittil i rapporteringsåret.</t>
  </si>
  <si>
    <t>Antall mottagere av aktivitetstid</t>
  </si>
  <si>
    <t>SUM pr. 2. tertial 2019</t>
  </si>
  <si>
    <t>Tabell 3 - 5 - C Antall mottagere av hverdagsrehabilitering 1), antall vedtakstimer og antall utførte timer - hittil i år</t>
  </si>
  <si>
    <t>Tabell 3 - 5 - C  Antall mottagere av aktivitetstid, antall vedtakstimer og antall utførte timer - hittil i år</t>
  </si>
  <si>
    <t>Tabell 3 - 5 - C  Antall mottagere av avklaring og mestring, antall vedtakstimer og antall utførte timer - hittil i år</t>
  </si>
  <si>
    <t>Antall mottagere av avklaring og mestring</t>
  </si>
  <si>
    <t>Herav praktisk bistand til opplæring i daglige gjøremål 1)</t>
  </si>
  <si>
    <t>Herav brukerstyrt personlig assistanse (BPA) 2)</t>
  </si>
  <si>
    <t>Utført tid er derfor her satt lik vedtatt tid.</t>
  </si>
  <si>
    <t>SUM pr 31.08.2019</t>
  </si>
  <si>
    <t>SUM pr. 31.08.2019</t>
  </si>
  <si>
    <t>Herav antall personer som bor i eget hjem, men som iht. til fritt sykehjemsvalg venter på plass i et bestemt sykehjem</t>
  </si>
  <si>
    <t>Sum antall personer som som iht. til fritt sykehjemsvalg venter på plass i et annet bestemt sykehjem - ventetid</t>
  </si>
  <si>
    <t>** Noen brukere med private tjenesteytere kan samtidig ha valgt kommunal leverandør av en av tjenestene helsetjeneste i hjemmet eller praktisk bistand.</t>
  </si>
  <si>
    <t>Herav antall brukere som har valgt private tjensteytere for en eller flere av sine tjenester **</t>
  </si>
  <si>
    <t>Brukere av BARE helsetjeneste i hjemmet</t>
  </si>
  <si>
    <t xml:space="preserve">** Hjemmetjenester er her helsetjeneste i hjemmet og/eller praktisk bistand. </t>
  </si>
  <si>
    <t xml:space="preserve">1) Bydelene har lav andel utførte av vedtatte timer innen praktisk bistand- opplæring i dagliglivets gjøremål. Dette skyldes i hovedsak </t>
  </si>
  <si>
    <t>2) Bydelene fører ikke utført tid for tjenesten brukerstyrt personlig assistanse. Utført tid er derfor satt lik vedtakstiden.</t>
  </si>
  <si>
    <t>1) Leverandørene registrerer i liten grad utført tid for tjenesten praktisk bistand til opplæring i dagliglivets gjøremål. Utført tid er derfor her satt lik vedtatt tid.</t>
  </si>
  <si>
    <t xml:space="preserve">2) Leverandørene registrerer ikke utført tid for tjenesten brukerstyrt personlig assistanse, da assistenten ikke vil ha tilgang til fagsystemet Gerica. </t>
  </si>
  <si>
    <t>mangelfull registrering av utført tid for denne tjenesten i Gerica.  Utført tid er derfor her satt lik vedtakstiden.</t>
  </si>
  <si>
    <t xml:space="preserve">Tabell 3 - 5 - B - A1 - Andel utførte timer av vedtatte timer i hjemmetjenesten </t>
  </si>
  <si>
    <t>Pris/bot pr overliggerdøgn i 2018</t>
  </si>
  <si>
    <t>Gj.snittlig antall utførte vedtakstimer pr mottager hittil i år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</si>
  <si>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</si>
  <si>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</si>
  <si>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</si>
  <si>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</si>
  <si>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</si>
  <si>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</si>
  <si>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</si>
  <si>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</si>
  <si>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</si>
  <si>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</si>
  <si>
    <t>Dag-senter  - gerica-tjeneste dag-re-habilitering (tj.nr 25)1)</t>
  </si>
  <si>
    <t>Gerica-tjeneste Dag-senter (tj.nr. 26) 2)</t>
  </si>
  <si>
    <t>Gerica-tjeneste Dag-senter for fysisk funksjons-hemmede (tj.nr. 27)2)</t>
  </si>
  <si>
    <t>Gerica-tjeneste Dagtilbud for psykisk utviklings-hemmede (tj.nr. 28) 2)</t>
  </si>
  <si>
    <t>Sum pr 31.08.19</t>
  </si>
  <si>
    <t>Feil data for en bydel (Bydel Gamle Oslo)</t>
  </si>
  <si>
    <t>Sum hele 2017 1)</t>
  </si>
  <si>
    <t>1) Manglende data for 2017. Data var ikke tilgjengelig ved rapporteringstidspunkt.</t>
  </si>
  <si>
    <t>Antall vedtakstimer 1)</t>
  </si>
  <si>
    <t>Antall utførte timer 1)</t>
  </si>
  <si>
    <t>1) Registering av vedtakstid og utført tid er svært mangelfull for denne tjenesten. Resultatene vil derfor ikke vise den faktiske tjenesteytingen.</t>
  </si>
  <si>
    <t xml:space="preserve">2)  Andel brukere hhv. &lt; 67 år, 67 - 79 år, 80 -89 år, og ≥ 90 år, i forhold til antall innbyggere i samme aldresgrupper.  </t>
  </si>
  <si>
    <t xml:space="preserve">3) Antall innbyggere: Kriteriebef. pr  01.01.2019 </t>
  </si>
  <si>
    <t>Antall tildelte helsesjekkere for medisinsk avstandsoppfølging til kronisk syke hjemmeboende</t>
  </si>
  <si>
    <t>Aldersfordeling - beboere i Omsorg +</t>
  </si>
  <si>
    <t>SUM pr 31.12.2019</t>
  </si>
  <si>
    <t>SUM pr. 31.12.2019</t>
  </si>
  <si>
    <t>Sum 16 år og over med vedtak</t>
  </si>
  <si>
    <t>Endring 2019-2018</t>
  </si>
  <si>
    <t>SUM 2019</t>
  </si>
  <si>
    <t>Tabell 3 -1 - B - A4 - Aldersfordeling for beboere i langtidsopphold i institusjon pr. 31.12</t>
  </si>
  <si>
    <t>SUM 3. tertial 2019</t>
  </si>
  <si>
    <t xml:space="preserve">Tabell 3 -1 - B - A8 - Aldersfordeling for beboere med vedtak om korttidsopphold pr. 31.12.  </t>
  </si>
  <si>
    <t xml:space="preserve">Tabell 3 -1 - B - A9 - Aldersfordeling for beboere i barne- og avlastningsboliger pr. 31.12.  </t>
  </si>
  <si>
    <t xml:space="preserve">Tabell 3 -1 - B - A6 - Aldersfordeling for beboere i boform m/heldøgns pleie og omsorg pr. 31.12.  </t>
  </si>
  <si>
    <t>Tabell 3 -1 - B - A1 - Beboere i institusjon som bydelen betaler for - pr. 31.12.  - Aldersfordeling</t>
  </si>
  <si>
    <t xml:space="preserve">Tabell 3 - 2  - A1 -  Fritt sykehjemsvalg - personer som bor i sykehjem, men som venter på plass i et annet bestemt sykehjem pr. 31.12. </t>
  </si>
  <si>
    <t xml:space="preserve">Tabell 3 - 2  - A -  Antall personer som venter på fast plass i sykehjem - tid på venteliste - pr 31.12 </t>
  </si>
  <si>
    <t>SUM 3 .tertial 2019</t>
  </si>
  <si>
    <t>Gjennomsnitt 2019</t>
  </si>
  <si>
    <t>Sum 2. tertial 2019</t>
  </si>
  <si>
    <t xml:space="preserve">Gjennomsnitt 2019 </t>
  </si>
  <si>
    <t>mail sendt bydel 30 mars</t>
  </si>
  <si>
    <t>Sum 2019</t>
  </si>
  <si>
    <t>01/19</t>
  </si>
  <si>
    <t>05/19</t>
  </si>
  <si>
    <t>06/19</t>
  </si>
  <si>
    <t>01/18</t>
  </si>
  <si>
    <t>04/19</t>
  </si>
  <si>
    <t>Antall mottagere av en eller flere av tjenestene helsetjeneste i hjemmet, praktisk bistand, avlastning og omsorgslønn</t>
  </si>
  <si>
    <t>* Inkluderer brukere som bor i boliger til pleie- og omsorgsformål.</t>
  </si>
  <si>
    <t>Inkluderer tjeneste nr 1, 2, 3, 4, 5, 12, 13, 15, 23, 32, 33, 34, 49, 76, 77, 91, 101, 103, 106, 110 i ledelses og informasjonsverktøyet LIV.</t>
  </si>
  <si>
    <t>Tabell 3 - 5 - A -3  Totalt antall personer som mottar hjemmetjenester **) inkl. avlastning og omsorgslønn pr 31.12.   *)</t>
  </si>
  <si>
    <t>Antall vedtatte timer hjemme-sykepleie 1)</t>
  </si>
  <si>
    <t>1) Hjemmesykepleie er her tjenestene 1 Psykisk helsearbeid, 3 Hjemmesykepleie, 91 Hjemmesykepleie natt og 110 Hjemmesykepleie stasjonær tjeneste i LIV</t>
  </si>
  <si>
    <t>Herav praktisk bistand til opplæring i daglige gjøremål 2)</t>
  </si>
  <si>
    <t>Herav psykisk helsarbeid 2)</t>
  </si>
  <si>
    <t>Utført tid er derfor her satt lik vedtatt tid for disse tjenestene.</t>
  </si>
  <si>
    <t xml:space="preserve">2) Mange leverandører av praktiskbistand -opplringidagliglivets gjøremål har ikke tilgang til Gerica og registrerer derfor ikke utført </t>
  </si>
  <si>
    <t xml:space="preserve">tid. Bydelene registrerer ikke utført tid for tjenesten brukerstyrt personlig assistanse, da assistenten ikke vil ha tilgang til fagsystemet Gerica. </t>
  </si>
  <si>
    <t xml:space="preserve">Herav praktisk bistand til opplæring i daglige gjøremål </t>
  </si>
  <si>
    <t xml:space="preserve">Herav brukerstyrt personlig assistanse (BPA) </t>
  </si>
  <si>
    <t xml:space="preserve">Herav psykisk helsarbeid </t>
  </si>
  <si>
    <t>SUM pr. 3. tertial 2019</t>
  </si>
  <si>
    <t xml:space="preserve">** Hjemmetjenester er her hjemmesykepleie og/eller praktisk bistand. </t>
  </si>
  <si>
    <t>Hjemmesykepleie er her tjenestene 1 Psykisk helsearbeid, 3 Hjemmesykepleie, 91 Hjemmesykepleie natt og 110 Hjemmesykepleie stasjonær tjeneste i LIV</t>
  </si>
  <si>
    <t>Praktisk bistand er tjenestene praktiskbistand til dagliglivets gjøremål, praktisk bistand- opplæringi dagliglivets gjøremål og brukerstyrt personlig assistanse (BPA)</t>
  </si>
  <si>
    <t>Sum pr 31.12.19</t>
  </si>
  <si>
    <t xml:space="preserve">Tab 3-8-C Antall mottagere av hjemmesykepleie 67 år og over som er kartlagt for ernæringsmessig risiko </t>
  </si>
  <si>
    <t>Antall mottagere av hjemmesykepleie 67 år og over som er kartlagt for ernæringsmessig risiko</t>
  </si>
  <si>
    <t>Antall mottagere av hjemmesykepleie 67 år og over 1)</t>
  </si>
  <si>
    <t xml:space="preserve">Andel mottagere av helsetjeneste i hjemmet 67 år over 1) som er kartlagt for ernæringsmessig risiko </t>
  </si>
  <si>
    <t>Tabell 3 -9 - A11 -  Beboere med vedtak om bolig til pleie og omsorgsformål - sum antall  ≥ 90 år - pr. 31.12.  *)</t>
  </si>
  <si>
    <t>Tabell 3 -9 - A10 -  Beboere med vedtak om bolig til pleie og omsorgsformål - antall ≥ 95 år - pr. 31.12.  *)</t>
  </si>
  <si>
    <t>Tabell 3 -9 - A9 -  Beboere med vedtak om bolig til pleie og omsorgsformål - antall 90 - 94 år - pr. 31.12.  *)</t>
  </si>
  <si>
    <t>Tabell 3 -9 - A8 -  Beboere med vedtak om bolig til pleie og omsorgsformål - antall 85 - 89 år - pr. 31.12.  *)</t>
  </si>
  <si>
    <t>Tabell 3 -9 - A7 -  Beboere med vedtak om bolig til pleie og omsorgsformål - antall 80 - 84 år - pr. 31.12.  *)</t>
  </si>
  <si>
    <t>Tabell 3 -9 - A1 -  Beboere med vedtak om bolig til pleie og omsorgsformål - sum alle aldersgrupper - pr. 31.12.  *)</t>
  </si>
  <si>
    <t>Tabell 3 -9 - A2 -  Beboere med vedtak om bolig til pleie og omsorgsformål - antall 0 - 17 år - pr. 31.12.  *)</t>
  </si>
  <si>
    <t>Tabell 3 -9 - A3 -  Beboere med vedtak om bolig til pleie og omsorgsformål - antall 18 - 49 år - pr. 31.12*)</t>
  </si>
  <si>
    <t>Tabell 3 -9 - A4 -  Beboere med vedtak om bolig til pleie og omsorgsformål - antall 50 - 66 år - pr. 31.12.  *)</t>
  </si>
  <si>
    <t>Tabell 3 -9 - A5 -  Beboere med vedtak om bolig til pleie og omsorgsformål - antall 67 - 74 år - pr. 31.12.  *)</t>
  </si>
  <si>
    <t>Tabell 3 -9 - A6 -  Beboere med vedtak om bolig til pleie og omsorgsformål - antall 75 - 79 år - pr. 31.12.  *)</t>
  </si>
  <si>
    <t>Sum pr 31.12.2019</t>
  </si>
  <si>
    <t>Kriteriebefolkningen i bydelene etter alder per 1.1.2020*</t>
  </si>
  <si>
    <t>Justert befolkning i aldersgruppene 67 år og over</t>
  </si>
  <si>
    <t>* Etter korreksjon for befolkning 67 år og over i institusjon og Omsorg+. Det er 64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</si>
  <si>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</si>
  <si>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Tabell 3 - 5 - A -  Brukere av hjemmetjenester pr. 31.12.   *)**)</t>
  </si>
  <si>
    <t>Tabell 3 - 5 - B -  Sum brukere av hjemmetjenester pr. 31.12. - antall med private tjenesteyter   *)</t>
  </si>
  <si>
    <t>3-8-B Trygghetsalarmer og velferdsteknologi pr. 31.12.</t>
  </si>
  <si>
    <t>I somatiske sykehusavdelinger og rehabiliteringsopphold</t>
  </si>
  <si>
    <t>I rusavdelinger i sykehus</t>
  </si>
  <si>
    <t>Sum hele 2019</t>
  </si>
  <si>
    <t>For psykiatri og rusplasser er det innført betalingsplikt for døgn etter meldt utskrivningsklar fra 2019.</t>
  </si>
  <si>
    <t>Bydel ullern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</si>
</sst>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 * #,##0.00_ ;_ * \-#,##0.00_ ;_ * &quot;-&quot;??_ ;_ @_ "/>
    <numFmt numFmtId="165" formatCode="0.0&quot; &quot;%"/>
    <numFmt numFmtId="166" formatCode="0&quot; &quot;%"/>
    <numFmt numFmtId="167" formatCode="0.0"/>
    <numFmt numFmtId="168" formatCode="&quot; &quot;#,##0&quot; &quot;;&quot; (&quot;#,##0&quot;)&quot;;&quot; -&quot;00&quot; &quot;;&quot; &quot;@&quot; &quot;"/>
    <numFmt numFmtId="169" formatCode="&quot; &quot;#,##0.00&quot; &quot;;&quot; (&quot;#,##0.00&quot;)&quot;;&quot; -&quot;00&quot; &quot;;&quot; &quot;@&quot; &quot;"/>
    <numFmt numFmtId="170" formatCode="#,##0.0"/>
    <numFmt numFmtId="171" formatCode="0%"/>
    <numFmt numFmtId="172" formatCode="_(* #,##0.00_);_(* \(#,##0.00\);_(* &quot;-&quot;??_);_(@_)"/>
    <numFmt numFmtId="173" formatCode="#,##0;&quot;-&quot;#,##0"/>
    <numFmt numFmtId="174" formatCode="&quot; &quot;#,##0.0&quot; &quot;;&quot; (&quot;#,##0.0&quot;)&quot;;&quot; -&quot;00&quot; &quot;;&quot; &quot;@&quot; &quot;"/>
    <numFmt numFmtId="175" formatCode="&quot; &quot;#,##0.0&quot; &quot;;&quot; (&quot;#,##0.0&quot;)&quot;;&quot; -&quot;00.0&quot; &quot;;&quot; &quot;@&quot; &quot;"/>
  </numFmts>
  <fonts count="4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</font>
    <font>
      <b/>
      <sz val="10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Times New Roman"/>
      <family val="1"/>
    </font>
    <font>
      <sz val="11"/>
      <color rgb="FFFF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Helv"/>
    </font>
    <font>
      <b/>
      <sz val="11"/>
      <name val="Arial"/>
      <family val="2"/>
    </font>
    <font>
      <sz val="8"/>
      <color rgb="FFFF000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10"/>
      <color rgb="FFFF0000"/>
      <name val="Times New Roman"/>
      <family val="1"/>
    </font>
    <font>
      <b/>
      <sz val="11"/>
      <color rgb="FFFF0000"/>
      <name val="Arial"/>
      <family val="2"/>
    </font>
    <font>
      <sz val="8"/>
      <name val="Times New Roman"/>
      <family val="1"/>
    </font>
    <font>
      <b/>
      <i/>
      <sz val="10"/>
      <name val="Times New Roman"/>
      <family val="1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440">
    <xf numFmtId="0" fontId="0" fillId="0" borderId="0"/>
    <xf numFmtId="16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2" borderId="0" applyNumberFormat="0" applyFont="0" applyBorder="0" applyAlignment="0" applyProtection="0"/>
    <xf numFmtId="0" fontId="8" fillId="0" borderId="0" applyNumberFormat="0" applyFont="0" applyBorder="0" applyProtection="0"/>
    <xf numFmtId="166" fontId="8" fillId="0" borderId="0" applyFont="0" applyFill="0" applyBorder="0" applyAlignment="0" applyProtection="0"/>
    <xf numFmtId="0" fontId="9" fillId="0" borderId="0" applyNumberFormat="0" applyBorder="0" applyProtection="0"/>
    <xf numFmtId="0" fontId="19" fillId="0" borderId="0"/>
    <xf numFmtId="169" fontId="8" fillId="0" borderId="0" applyFont="0" applyFill="0" applyBorder="0" applyAlignment="0" applyProtection="0"/>
    <xf numFmtId="0" fontId="7" fillId="0" borderId="0"/>
    <xf numFmtId="0" fontId="23" fillId="0" borderId="0"/>
    <xf numFmtId="9" fontId="23" fillId="0" borderId="0" applyFont="0" applyFill="0" applyBorder="0" applyAlignment="0" applyProtection="0"/>
    <xf numFmtId="0" fontId="18" fillId="0" borderId="0"/>
    <xf numFmtId="172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0" fontId="19" fillId="0" borderId="0"/>
    <xf numFmtId="171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1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23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3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7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0" fontId="3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37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23" fillId="0" borderId="0"/>
    <xf numFmtId="0" fontId="5" fillId="0" borderId="0"/>
    <xf numFmtId="0" fontId="5" fillId="0" borderId="0"/>
    <xf numFmtId="0" fontId="5" fillId="0" borderId="0"/>
    <xf numFmtId="164" fontId="2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3" fillId="0" borderId="0"/>
    <xf numFmtId="9" fontId="23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8" fillId="0" borderId="0" applyNumberFormat="0" applyFont="0" applyBorder="0" applyProtection="0"/>
    <xf numFmtId="0" fontId="8" fillId="0" borderId="0" applyNumberFormat="0" applyFont="0" applyBorder="0" applyProtection="0"/>
    <xf numFmtId="0" fontId="9" fillId="0" borderId="0" applyNumberFormat="0" applyBorder="0" applyProtection="0"/>
    <xf numFmtId="173" fontId="8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7" fillId="0" borderId="0"/>
    <xf numFmtId="0" fontId="3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3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48" fillId="0" borderId="0" applyNumberFormat="0" applyBorder="0" applyAlignment="0"/>
  </cellStyleXfs>
  <cellXfs count="1711">
    <xf numFmtId="0" fontId="0" fillId="0" borderId="0" xfId="0"/>
    <xf numFmtId="0" fontId="10" fillId="0" borderId="0" xfId="0" applyFont="1" applyAlignment="1">
      <alignment horizontal="left"/>
    </xf>
    <xf numFmtId="0" fontId="10" fillId="0" borderId="0" xfId="0" applyFont="1"/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wrapText="1"/>
    </xf>
    <xf numFmtId="3" fontId="10" fillId="0" borderId="11" xfId="0" applyNumberFormat="1" applyFont="1" applyBorder="1"/>
    <xf numFmtId="3" fontId="10" fillId="0" borderId="12" xfId="0" applyNumberFormat="1" applyFont="1" applyBorder="1"/>
    <xf numFmtId="3" fontId="10" fillId="0" borderId="13" xfId="0" applyNumberFormat="1" applyFont="1" applyBorder="1"/>
    <xf numFmtId="3" fontId="10" fillId="0" borderId="0" xfId="0" applyNumberFormat="1" applyFont="1"/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wrapText="1"/>
    </xf>
    <xf numFmtId="0" fontId="10" fillId="0" borderId="11" xfId="0" applyFont="1" applyFill="1" applyBorder="1" applyAlignment="1">
      <alignment horizontal="center"/>
    </xf>
    <xf numFmtId="0" fontId="10" fillId="0" borderId="20" xfId="0" applyFont="1" applyFill="1" applyBorder="1" applyAlignment="1">
      <alignment wrapText="1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wrapText="1"/>
    </xf>
    <xf numFmtId="3" fontId="10" fillId="0" borderId="23" xfId="0" applyNumberFormat="1" applyFont="1" applyBorder="1"/>
    <xf numFmtId="0" fontId="14" fillId="0" borderId="0" xfId="0" applyFont="1"/>
    <xf numFmtId="0" fontId="10" fillId="0" borderId="0" xfId="0" applyFont="1" applyFill="1" applyAlignment="1">
      <alignment horizontal="left" vertical="center"/>
    </xf>
    <xf numFmtId="0" fontId="14" fillId="0" borderId="34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3" fontId="10" fillId="0" borderId="0" xfId="0" applyNumberFormat="1" applyFont="1" applyFill="1"/>
    <xf numFmtId="0" fontId="14" fillId="0" borderId="0" xfId="0" applyFont="1" applyFill="1"/>
    <xf numFmtId="0" fontId="14" fillId="0" borderId="0" xfId="0" applyFont="1" applyAlignment="1">
      <alignment horizontal="center"/>
    </xf>
    <xf numFmtId="0" fontId="14" fillId="0" borderId="40" xfId="0" applyFont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3" fontId="10" fillId="0" borderId="17" xfId="0" applyNumberFormat="1" applyFont="1" applyFill="1" applyBorder="1"/>
    <xf numFmtId="3" fontId="14" fillId="0" borderId="0" xfId="0" applyNumberFormat="1" applyFont="1"/>
    <xf numFmtId="0" fontId="10" fillId="0" borderId="3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45" xfId="0" applyFont="1" applyBorder="1"/>
    <xf numFmtId="0" fontId="14" fillId="0" borderId="0" xfId="0" applyFont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46" xfId="0" applyFont="1" applyBorder="1" applyAlignment="1">
      <alignment horizontal="center" wrapText="1"/>
    </xf>
    <xf numFmtId="0" fontId="10" fillId="0" borderId="0" xfId="0" applyFont="1" applyFill="1" applyAlignment="1"/>
    <xf numFmtId="0" fontId="14" fillId="0" borderId="47" xfId="0" applyFont="1" applyBorder="1" applyAlignment="1">
      <alignment horizontal="center" wrapText="1"/>
    </xf>
    <xf numFmtId="168" fontId="10" fillId="0" borderId="0" xfId="1" applyNumberFormat="1" applyFont="1"/>
    <xf numFmtId="0" fontId="14" fillId="0" borderId="49" xfId="0" applyFont="1" applyBorder="1" applyAlignment="1">
      <alignment horizontal="center" wrapText="1"/>
    </xf>
    <xf numFmtId="0" fontId="10" fillId="0" borderId="13" xfId="0" applyFont="1" applyFill="1" applyBorder="1" applyAlignment="1">
      <alignment wrapText="1"/>
    </xf>
    <xf numFmtId="3" fontId="14" fillId="0" borderId="0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wrapText="1"/>
    </xf>
    <xf numFmtId="3" fontId="10" fillId="0" borderId="56" xfId="0" applyNumberFormat="1" applyFont="1" applyBorder="1"/>
    <xf numFmtId="0" fontId="21" fillId="0" borderId="0" xfId="0" applyFont="1"/>
    <xf numFmtId="0" fontId="21" fillId="0" borderId="0" xfId="0" applyFont="1" applyAlignment="1">
      <alignment horizontal="left" vertical="center"/>
    </xf>
    <xf numFmtId="0" fontId="14" fillId="0" borderId="65" xfId="0" applyFont="1" applyBorder="1" applyAlignment="1">
      <alignment horizontal="center"/>
    </xf>
    <xf numFmtId="0" fontId="14" fillId="0" borderId="85" xfId="0" applyFont="1" applyFill="1" applyBorder="1" applyAlignment="1">
      <alignment wrapText="1"/>
    </xf>
    <xf numFmtId="0" fontId="14" fillId="0" borderId="87" xfId="0" applyFont="1" applyBorder="1" applyAlignment="1">
      <alignment horizontal="center"/>
    </xf>
    <xf numFmtId="0" fontId="14" fillId="0" borderId="98" xfId="0" applyFont="1" applyBorder="1" applyAlignment="1">
      <alignment horizontal="center" wrapText="1"/>
    </xf>
    <xf numFmtId="0" fontId="14" fillId="0" borderId="99" xfId="0" applyFont="1" applyBorder="1" applyAlignment="1">
      <alignment horizontal="center" wrapText="1"/>
    </xf>
    <xf numFmtId="0" fontId="14" fillId="0" borderId="102" xfId="0" applyFont="1" applyBorder="1" applyAlignment="1">
      <alignment horizontal="center" wrapText="1"/>
    </xf>
    <xf numFmtId="0" fontId="14" fillId="0" borderId="103" xfId="0" applyFont="1" applyBorder="1" applyAlignment="1">
      <alignment horizontal="center" wrapText="1"/>
    </xf>
    <xf numFmtId="0" fontId="10" fillId="0" borderId="104" xfId="0" applyFont="1" applyFill="1" applyBorder="1" applyAlignment="1">
      <alignment horizontal="center"/>
    </xf>
    <xf numFmtId="0" fontId="10" fillId="0" borderId="68" xfId="0" applyFont="1" applyFill="1" applyBorder="1" applyAlignment="1">
      <alignment horizontal="center"/>
    </xf>
    <xf numFmtId="0" fontId="10" fillId="0" borderId="87" xfId="0" applyFont="1" applyFill="1" applyBorder="1" applyAlignment="1">
      <alignment horizontal="center"/>
    </xf>
    <xf numFmtId="0" fontId="10" fillId="0" borderId="70" xfId="0" applyFont="1" applyFill="1" applyBorder="1" applyAlignment="1">
      <alignment horizontal="center"/>
    </xf>
    <xf numFmtId="0" fontId="10" fillId="0" borderId="74" xfId="0" applyFont="1" applyFill="1" applyBorder="1" applyAlignment="1">
      <alignment wrapText="1"/>
    </xf>
    <xf numFmtId="0" fontId="10" fillId="0" borderId="89" xfId="0" applyFont="1" applyBorder="1" applyAlignment="1">
      <alignment horizontal="center"/>
    </xf>
    <xf numFmtId="0" fontId="14" fillId="0" borderId="116" xfId="0" applyFont="1" applyBorder="1" applyAlignment="1">
      <alignment horizontal="center" wrapText="1"/>
    </xf>
    <xf numFmtId="0" fontId="10" fillId="0" borderId="112" xfId="0" applyFont="1" applyFill="1" applyBorder="1" applyAlignment="1">
      <alignment horizontal="center"/>
    </xf>
    <xf numFmtId="168" fontId="10" fillId="0" borderId="52" xfId="1" applyNumberFormat="1" applyFont="1" applyBorder="1"/>
    <xf numFmtId="168" fontId="10" fillId="0" borderId="57" xfId="1" applyNumberFormat="1" applyFont="1" applyBorder="1"/>
    <xf numFmtId="168" fontId="10" fillId="0" borderId="59" xfId="1" applyNumberFormat="1" applyFont="1" applyBorder="1"/>
    <xf numFmtId="168" fontId="10" fillId="0" borderId="60" xfId="1" applyNumberFormat="1" applyFont="1" applyBorder="1"/>
    <xf numFmtId="0" fontId="10" fillId="0" borderId="0" xfId="0" applyFont="1" applyBorder="1"/>
    <xf numFmtId="0" fontId="14" fillId="0" borderId="120" xfId="0" applyFont="1" applyBorder="1" applyAlignment="1">
      <alignment horizontal="center" wrapText="1"/>
    </xf>
    <xf numFmtId="0" fontId="24" fillId="0" borderId="0" xfId="0" applyFont="1"/>
    <xf numFmtId="0" fontId="14" fillId="0" borderId="0" xfId="0" applyFont="1" applyAlignment="1">
      <alignment horizontal="center" wrapText="1"/>
    </xf>
    <xf numFmtId="0" fontId="0" fillId="0" borderId="0" xfId="0" applyFont="1"/>
    <xf numFmtId="0" fontId="11" fillId="0" borderId="0" xfId="0" applyFont="1" applyFill="1" applyBorder="1" applyAlignment="1">
      <alignment vertical="center"/>
    </xf>
    <xf numFmtId="0" fontId="14" fillId="0" borderId="128" xfId="0" applyFont="1" applyBorder="1" applyAlignment="1">
      <alignment horizontal="center" wrapText="1"/>
    </xf>
    <xf numFmtId="168" fontId="14" fillId="0" borderId="129" xfId="1" applyNumberFormat="1" applyFont="1" applyBorder="1" applyAlignment="1">
      <alignment horizontal="center" wrapText="1"/>
    </xf>
    <xf numFmtId="168" fontId="14" fillId="0" borderId="127" xfId="1" applyNumberFormat="1" applyFont="1" applyBorder="1" applyAlignment="1">
      <alignment horizontal="center" wrapText="1"/>
    </xf>
    <xf numFmtId="168" fontId="14" fillId="0" borderId="130" xfId="1" applyNumberFormat="1" applyFont="1" applyBorder="1" applyAlignment="1">
      <alignment horizontal="center" wrapText="1"/>
    </xf>
    <xf numFmtId="168" fontId="14" fillId="0" borderId="131" xfId="1" applyNumberFormat="1" applyFont="1" applyBorder="1" applyAlignment="1">
      <alignment horizontal="center" wrapText="1"/>
    </xf>
    <xf numFmtId="168" fontId="14" fillId="0" borderId="132" xfId="1" applyNumberFormat="1" applyFont="1" applyBorder="1" applyAlignment="1">
      <alignment horizontal="center" wrapText="1"/>
    </xf>
    <xf numFmtId="0" fontId="10" fillId="0" borderId="95" xfId="0" applyFont="1" applyFill="1" applyBorder="1" applyAlignment="1">
      <alignment wrapText="1"/>
    </xf>
    <xf numFmtId="3" fontId="10" fillId="0" borderId="91" xfId="0" applyNumberFormat="1" applyFont="1" applyBorder="1"/>
    <xf numFmtId="3" fontId="10" fillId="0" borderId="92" xfId="0" applyNumberFormat="1" applyFont="1" applyBorder="1"/>
    <xf numFmtId="0" fontId="14" fillId="0" borderId="98" xfId="0" applyFont="1" applyBorder="1" applyAlignment="1">
      <alignment horizontal="left" vertical="center"/>
    </xf>
    <xf numFmtId="0" fontId="25" fillId="0" borderId="0" xfId="0" applyFont="1" applyBorder="1"/>
    <xf numFmtId="0" fontId="10" fillId="0" borderId="87" xfId="0" applyFont="1" applyBorder="1" applyAlignment="1">
      <alignment horizontal="center"/>
    </xf>
    <xf numFmtId="3" fontId="10" fillId="0" borderId="90" xfId="0" applyNumberFormat="1" applyFont="1" applyBorder="1"/>
    <xf numFmtId="168" fontId="14" fillId="0" borderId="54" xfId="1" applyNumberFormat="1" applyFont="1" applyBorder="1"/>
    <xf numFmtId="168" fontId="14" fillId="0" borderId="55" xfId="1" applyNumberFormat="1" applyFont="1" applyBorder="1"/>
    <xf numFmtId="0" fontId="14" fillId="0" borderId="54" xfId="0" applyFont="1" applyBorder="1"/>
    <xf numFmtId="0" fontId="10" fillId="0" borderId="52" xfId="0" applyFont="1" applyBorder="1"/>
    <xf numFmtId="3" fontId="10" fillId="0" borderId="148" xfId="0" applyNumberFormat="1" applyFont="1" applyBorder="1" applyAlignment="1">
      <alignment horizontal="right"/>
    </xf>
    <xf numFmtId="0" fontId="10" fillId="0" borderId="59" xfId="0" applyFont="1" applyBorder="1"/>
    <xf numFmtId="0" fontId="10" fillId="0" borderId="58" xfId="0" applyFont="1" applyBorder="1"/>
    <xf numFmtId="0" fontId="10" fillId="2" borderId="0" xfId="0" applyFont="1" applyFill="1" applyAlignment="1"/>
    <xf numFmtId="0" fontId="10" fillId="2" borderId="0" xfId="0" applyFont="1" applyFill="1"/>
    <xf numFmtId="3" fontId="10" fillId="0" borderId="4" xfId="0" applyNumberFormat="1" applyFont="1" applyBorder="1" applyAlignment="1">
      <alignment horizontal="right"/>
    </xf>
    <xf numFmtId="3" fontId="10" fillId="0" borderId="45" xfId="0" applyNumberFormat="1" applyFont="1" applyBorder="1" applyAlignment="1">
      <alignment horizontal="right"/>
    </xf>
    <xf numFmtId="0" fontId="10" fillId="0" borderId="32" xfId="0" applyFont="1" applyBorder="1"/>
    <xf numFmtId="3" fontId="10" fillId="0" borderId="31" xfId="0" applyNumberFormat="1" applyFont="1" applyBorder="1" applyAlignment="1">
      <alignment horizontal="right"/>
    </xf>
    <xf numFmtId="3" fontId="10" fillId="0" borderId="32" xfId="0" applyNumberFormat="1" applyFont="1" applyBorder="1" applyAlignment="1">
      <alignment horizontal="right"/>
    </xf>
    <xf numFmtId="3" fontId="10" fillId="0" borderId="31" xfId="0" applyNumberFormat="1" applyFont="1" applyBorder="1" applyAlignment="1">
      <alignment horizontal="center"/>
    </xf>
    <xf numFmtId="3" fontId="10" fillId="0" borderId="32" xfId="0" applyNumberFormat="1" applyFont="1" applyBorder="1" applyAlignment="1">
      <alignment horizontal="center"/>
    </xf>
    <xf numFmtId="3" fontId="10" fillId="0" borderId="59" xfId="0" applyNumberFormat="1" applyFont="1" applyBorder="1" applyAlignment="1">
      <alignment horizontal="right"/>
    </xf>
    <xf numFmtId="0" fontId="14" fillId="0" borderId="7" xfId="0" applyFont="1" applyBorder="1" applyAlignment="1">
      <alignment horizontal="center"/>
    </xf>
    <xf numFmtId="0" fontId="27" fillId="0" borderId="0" xfId="0" applyFont="1"/>
    <xf numFmtId="0" fontId="18" fillId="0" borderId="53" xfId="0" applyFont="1" applyBorder="1" applyAlignment="1" applyProtection="1">
      <alignment horizontal="right"/>
    </xf>
    <xf numFmtId="0" fontId="18" fillId="0" borderId="56" xfId="0" applyFont="1" applyBorder="1" applyAlignment="1" applyProtection="1">
      <alignment horizontal="right"/>
    </xf>
    <xf numFmtId="0" fontId="18" fillId="0" borderId="58" xfId="0" applyFont="1" applyBorder="1" applyAlignment="1" applyProtection="1">
      <alignment horizontal="right"/>
    </xf>
    <xf numFmtId="0" fontId="28" fillId="0" borderId="0" xfId="0" applyFont="1"/>
    <xf numFmtId="0" fontId="10" fillId="0" borderId="159" xfId="0" applyFont="1" applyBorder="1" applyAlignment="1">
      <alignment horizontal="center"/>
    </xf>
    <xf numFmtId="0" fontId="10" fillId="0" borderId="160" xfId="0" applyFont="1" applyBorder="1" applyAlignment="1">
      <alignment horizontal="center"/>
    </xf>
    <xf numFmtId="0" fontId="0" fillId="0" borderId="132" xfId="0" applyBorder="1"/>
    <xf numFmtId="0" fontId="10" fillId="0" borderId="162" xfId="0" applyFont="1" applyFill="1" applyBorder="1" applyAlignment="1">
      <alignment wrapText="1"/>
    </xf>
    <xf numFmtId="3" fontId="10" fillId="0" borderId="50" xfId="0" applyNumberFormat="1" applyFont="1" applyFill="1" applyBorder="1"/>
    <xf numFmtId="3" fontId="10" fillId="0" borderId="27" xfId="0" applyNumberFormat="1" applyFont="1" applyFill="1" applyBorder="1"/>
    <xf numFmtId="3" fontId="10" fillId="0" borderId="11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0" fillId="0" borderId="26" xfId="0" applyNumberFormat="1" applyFont="1" applyBorder="1" applyAlignment="1">
      <alignment horizontal="center"/>
    </xf>
    <xf numFmtId="3" fontId="10" fillId="0" borderId="10" xfId="0" applyNumberFormat="1" applyFont="1" applyBorder="1" applyAlignment="1">
      <alignment horizontal="center"/>
    </xf>
    <xf numFmtId="3" fontId="10" fillId="0" borderId="42" xfId="0" applyNumberFormat="1" applyFont="1" applyFill="1" applyBorder="1"/>
    <xf numFmtId="3" fontId="10" fillId="0" borderId="15" xfId="0" applyNumberFormat="1" applyFont="1" applyBorder="1" applyAlignment="1">
      <alignment horizontal="center"/>
    </xf>
    <xf numFmtId="3" fontId="10" fillId="0" borderId="17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43" xfId="0" applyNumberFormat="1" applyFont="1" applyFill="1" applyBorder="1"/>
    <xf numFmtId="3" fontId="10" fillId="0" borderId="21" xfId="0" applyNumberFormat="1" applyFont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3" fontId="10" fillId="0" borderId="24" xfId="0" applyNumberFormat="1" applyFont="1" applyBorder="1" applyAlignment="1">
      <alignment horizontal="center"/>
    </xf>
    <xf numFmtId="3" fontId="10" fillId="0" borderId="22" xfId="0" applyNumberFormat="1" applyFont="1" applyBorder="1" applyAlignment="1">
      <alignment horizontal="center"/>
    </xf>
    <xf numFmtId="0" fontId="14" fillId="0" borderId="6" xfId="0" applyFont="1" applyFill="1" applyBorder="1" applyAlignment="1">
      <alignment wrapText="1"/>
    </xf>
    <xf numFmtId="3" fontId="14" fillId="0" borderId="7" xfId="0" applyNumberFormat="1" applyFont="1" applyBorder="1" applyAlignment="1">
      <alignment horizontal="center"/>
    </xf>
    <xf numFmtId="3" fontId="14" fillId="0" borderId="6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0" fillId="0" borderId="57" xfId="0" applyFont="1" applyBorder="1"/>
    <xf numFmtId="0" fontId="26" fillId="0" borderId="0" xfId="0" applyFont="1" applyFill="1" applyBorder="1" applyAlignment="1"/>
    <xf numFmtId="0" fontId="14" fillId="0" borderId="168" xfId="0" applyFont="1" applyBorder="1" applyAlignment="1">
      <alignment horizontal="center" wrapText="1"/>
    </xf>
    <xf numFmtId="1" fontId="10" fillId="0" borderId="55" xfId="0" applyNumberFormat="1" applyFont="1" applyBorder="1"/>
    <xf numFmtId="0" fontId="14" fillId="0" borderId="48" xfId="0" applyFont="1" applyBorder="1" applyAlignment="1">
      <alignment horizontal="center" wrapText="1"/>
    </xf>
    <xf numFmtId="0" fontId="27" fillId="0" borderId="0" xfId="0" applyFont="1" applyAlignment="1">
      <alignment horizontal="left"/>
    </xf>
    <xf numFmtId="1" fontId="10" fillId="0" borderId="54" xfId="0" applyNumberFormat="1" applyFont="1" applyBorder="1"/>
    <xf numFmtId="1" fontId="10" fillId="0" borderId="44" xfId="0" applyNumberFormat="1" applyFont="1" applyBorder="1"/>
    <xf numFmtId="1" fontId="10" fillId="0" borderId="52" xfId="0" applyNumberFormat="1" applyFont="1" applyBorder="1"/>
    <xf numFmtId="1" fontId="10" fillId="0" borderId="19" xfId="0" applyNumberFormat="1" applyFont="1" applyBorder="1"/>
    <xf numFmtId="1" fontId="10" fillId="0" borderId="25" xfId="0" applyNumberFormat="1" applyFont="1" applyBorder="1"/>
    <xf numFmtId="0" fontId="10" fillId="6" borderId="0" xfId="0" applyFont="1" applyFill="1"/>
    <xf numFmtId="0" fontId="10" fillId="0" borderId="53" xfId="0" applyFont="1" applyBorder="1"/>
    <xf numFmtId="0" fontId="10" fillId="0" borderId="54" xfId="0" applyFont="1" applyBorder="1"/>
    <xf numFmtId="0" fontId="10" fillId="0" borderId="55" xfId="0" applyFont="1" applyBorder="1"/>
    <xf numFmtId="0" fontId="10" fillId="0" borderId="56" xfId="0" applyFont="1" applyBorder="1"/>
    <xf numFmtId="0" fontId="10" fillId="0" borderId="76" xfId="0" applyFont="1" applyBorder="1"/>
    <xf numFmtId="0" fontId="10" fillId="0" borderId="77" xfId="0" applyFont="1" applyBorder="1"/>
    <xf numFmtId="0" fontId="14" fillId="0" borderId="126" xfId="0" applyFont="1" applyBorder="1" applyAlignment="1">
      <alignment horizontal="center" wrapText="1"/>
    </xf>
    <xf numFmtId="0" fontId="14" fillId="0" borderId="170" xfId="0" applyFont="1" applyBorder="1" applyAlignment="1">
      <alignment horizontal="center" wrapText="1"/>
    </xf>
    <xf numFmtId="0" fontId="14" fillId="0" borderId="131" xfId="0" applyFont="1" applyBorder="1" applyAlignment="1">
      <alignment horizontal="center" wrapText="1"/>
    </xf>
    <xf numFmtId="0" fontId="27" fillId="0" borderId="0" xfId="0" applyFont="1" applyAlignment="1">
      <alignment horizontal="left" vertical="center"/>
    </xf>
    <xf numFmtId="0" fontId="10" fillId="0" borderId="56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14" fillId="0" borderId="172" xfId="0" applyFont="1" applyBorder="1" applyAlignment="1">
      <alignment horizontal="center" wrapText="1"/>
    </xf>
    <xf numFmtId="0" fontId="10" fillId="0" borderId="53" xfId="0" applyFont="1" applyFill="1" applyBorder="1" applyAlignment="1">
      <alignment horizontal="center"/>
    </xf>
    <xf numFmtId="0" fontId="10" fillId="0" borderId="75" xfId="0" applyFont="1" applyFill="1" applyBorder="1" applyAlignment="1">
      <alignment wrapText="1"/>
    </xf>
    <xf numFmtId="0" fontId="10" fillId="0" borderId="76" xfId="0" applyFont="1" applyFill="1" applyBorder="1" applyAlignment="1">
      <alignment wrapText="1"/>
    </xf>
    <xf numFmtId="0" fontId="10" fillId="0" borderId="77" xfId="0" applyFont="1" applyFill="1" applyBorder="1" applyAlignment="1">
      <alignment wrapText="1"/>
    </xf>
    <xf numFmtId="0" fontId="11" fillId="0" borderId="173" xfId="0" applyFont="1" applyBorder="1"/>
    <xf numFmtId="0" fontId="14" fillId="0" borderId="174" xfId="0" applyFont="1" applyFill="1" applyBorder="1" applyAlignment="1">
      <alignment wrapText="1"/>
    </xf>
    <xf numFmtId="0" fontId="11" fillId="0" borderId="174" xfId="0" applyFont="1" applyBorder="1"/>
    <xf numFmtId="0" fontId="10" fillId="0" borderId="65" xfId="0" applyFont="1" applyFill="1" applyBorder="1" applyAlignment="1">
      <alignment horizontal="center"/>
    </xf>
    <xf numFmtId="0" fontId="10" fillId="0" borderId="73" xfId="0" applyFont="1" applyFill="1" applyBorder="1" applyAlignment="1">
      <alignment wrapText="1"/>
    </xf>
    <xf numFmtId="0" fontId="9" fillId="0" borderId="0" xfId="6"/>
    <xf numFmtId="3" fontId="10" fillId="0" borderId="96" xfId="0" applyNumberFormat="1" applyFont="1" applyBorder="1"/>
    <xf numFmtId="3" fontId="10" fillId="0" borderId="93" xfId="0" applyNumberFormat="1" applyFont="1" applyBorder="1"/>
    <xf numFmtId="0" fontId="2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Fill="1" applyAlignment="1"/>
    <xf numFmtId="0" fontId="0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11" fillId="0" borderId="98" xfId="0" applyFont="1" applyBorder="1" applyAlignment="1">
      <alignment horizontal="center" wrapText="1"/>
    </xf>
    <xf numFmtId="0" fontId="11" fillId="0" borderId="99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102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20" xfId="0" applyFont="1" applyBorder="1" applyAlignment="1">
      <alignment horizontal="center" wrapText="1"/>
    </xf>
    <xf numFmtId="0" fontId="11" fillId="0" borderId="121" xfId="0" applyFont="1" applyBorder="1" applyAlignment="1">
      <alignment horizontal="center" wrapText="1"/>
    </xf>
    <xf numFmtId="0" fontId="11" fillId="0" borderId="38" xfId="0" applyFont="1" applyBorder="1" applyAlignment="1">
      <alignment horizontal="center" wrapText="1"/>
    </xf>
    <xf numFmtId="0" fontId="11" fillId="0" borderId="125" xfId="0" applyFont="1" applyBorder="1" applyAlignment="1">
      <alignment horizontal="center" wrapText="1"/>
    </xf>
    <xf numFmtId="0" fontId="0" fillId="0" borderId="104" xfId="0" applyFont="1" applyFill="1" applyBorder="1" applyAlignment="1">
      <alignment horizontal="center"/>
    </xf>
    <xf numFmtId="0" fontId="0" fillId="0" borderId="10" xfId="0" applyFont="1" applyFill="1" applyBorder="1" applyAlignment="1">
      <alignment wrapText="1"/>
    </xf>
    <xf numFmtId="0" fontId="0" fillId="0" borderId="68" xfId="0" applyFont="1" applyFill="1" applyBorder="1" applyAlignment="1">
      <alignment horizontal="center"/>
    </xf>
    <xf numFmtId="0" fontId="0" fillId="0" borderId="16" xfId="0" applyFont="1" applyFill="1" applyBorder="1" applyAlignment="1">
      <alignment wrapText="1"/>
    </xf>
    <xf numFmtId="167" fontId="0" fillId="0" borderId="57" xfId="0" applyNumberFormat="1" applyFont="1" applyBorder="1" applyAlignment="1">
      <alignment horizontal="center"/>
    </xf>
    <xf numFmtId="0" fontId="0" fillId="0" borderId="87" xfId="0" applyFont="1" applyFill="1" applyBorder="1" applyAlignment="1">
      <alignment horizontal="center"/>
    </xf>
    <xf numFmtId="0" fontId="0" fillId="0" borderId="20" xfId="0" applyFont="1" applyFill="1" applyBorder="1" applyAlignment="1">
      <alignment wrapText="1"/>
    </xf>
    <xf numFmtId="0" fontId="0" fillId="0" borderId="112" xfId="0" applyFont="1" applyFill="1" applyBorder="1" applyAlignment="1">
      <alignment horizontal="center"/>
    </xf>
    <xf numFmtId="0" fontId="0" fillId="0" borderId="22" xfId="0" applyFont="1" applyFill="1" applyBorder="1" applyAlignment="1">
      <alignment wrapText="1"/>
    </xf>
    <xf numFmtId="0" fontId="0" fillId="0" borderId="53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167" fontId="0" fillId="0" borderId="6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vertical="center"/>
    </xf>
    <xf numFmtId="0" fontId="29" fillId="0" borderId="98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5" xfId="0" applyFont="1" applyBorder="1" applyAlignment="1">
      <alignment horizontal="center" wrapText="1"/>
    </xf>
    <xf numFmtId="0" fontId="30" fillId="0" borderId="104" xfId="0" applyFont="1" applyFill="1" applyBorder="1" applyAlignment="1">
      <alignment horizontal="center"/>
    </xf>
    <xf numFmtId="0" fontId="30" fillId="0" borderId="10" xfId="0" applyFont="1" applyFill="1" applyBorder="1" applyAlignment="1">
      <alignment wrapText="1"/>
    </xf>
    <xf numFmtId="0" fontId="30" fillId="0" borderId="68" xfId="0" applyFont="1" applyFill="1" applyBorder="1" applyAlignment="1">
      <alignment horizontal="center"/>
    </xf>
    <xf numFmtId="0" fontId="30" fillId="0" borderId="16" xfId="0" applyFont="1" applyFill="1" applyBorder="1" applyAlignment="1">
      <alignment wrapText="1"/>
    </xf>
    <xf numFmtId="0" fontId="30" fillId="0" borderId="87" xfId="0" applyFont="1" applyFill="1" applyBorder="1" applyAlignment="1">
      <alignment horizontal="center"/>
    </xf>
    <xf numFmtId="0" fontId="30" fillId="0" borderId="20" xfId="0" applyFont="1" applyFill="1" applyBorder="1" applyAlignment="1">
      <alignment wrapText="1"/>
    </xf>
    <xf numFmtId="0" fontId="30" fillId="0" borderId="22" xfId="0" applyFont="1" applyFill="1" applyBorder="1" applyAlignment="1">
      <alignment wrapText="1"/>
    </xf>
    <xf numFmtId="0" fontId="30" fillId="0" borderId="56" xfId="0" applyFont="1" applyBorder="1" applyAlignment="1">
      <alignment horizontal="center"/>
    </xf>
    <xf numFmtId="0" fontId="30" fillId="0" borderId="58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30" fillId="2" borderId="0" xfId="0" applyFont="1" applyFill="1" applyAlignment="1"/>
    <xf numFmtId="0" fontId="30" fillId="2" borderId="0" xfId="0" applyFont="1" applyFill="1"/>
    <xf numFmtId="0" fontId="29" fillId="0" borderId="1" xfId="0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0" fontId="29" fillId="0" borderId="4" xfId="0" applyFont="1" applyBorder="1" applyAlignment="1">
      <alignment horizontal="center" wrapText="1"/>
    </xf>
    <xf numFmtId="0" fontId="29" fillId="0" borderId="154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41" xfId="0" applyFont="1" applyBorder="1" applyAlignment="1">
      <alignment horizontal="center" wrapText="1"/>
    </xf>
    <xf numFmtId="0" fontId="30" fillId="0" borderId="9" xfId="0" applyFont="1" applyFill="1" applyBorder="1" applyAlignment="1">
      <alignment horizontal="center"/>
    </xf>
    <xf numFmtId="166" fontId="30" fillId="0" borderId="44" xfId="2" applyFont="1" applyBorder="1" applyAlignment="1">
      <alignment horizontal="center"/>
    </xf>
    <xf numFmtId="0" fontId="30" fillId="0" borderId="15" xfId="0" applyFont="1" applyFill="1" applyBorder="1" applyAlignment="1">
      <alignment horizontal="center"/>
    </xf>
    <xf numFmtId="166" fontId="30" fillId="0" borderId="19" xfId="2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0" fontId="30" fillId="0" borderId="21" xfId="0" applyFont="1" applyFill="1" applyBorder="1" applyAlignment="1">
      <alignment horizontal="center"/>
    </xf>
    <xf numFmtId="166" fontId="30" fillId="0" borderId="25" xfId="2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54" xfId="0" applyFont="1" applyBorder="1" applyAlignment="1">
      <alignment wrapText="1"/>
    </xf>
    <xf numFmtId="168" fontId="29" fillId="0" borderId="54" xfId="1" applyNumberFormat="1" applyFont="1" applyBorder="1" applyAlignment="1">
      <alignment horizontal="center"/>
    </xf>
    <xf numFmtId="166" fontId="29" fillId="0" borderId="55" xfId="2" applyFont="1" applyBorder="1" applyAlignment="1">
      <alignment horizontal="center"/>
    </xf>
    <xf numFmtId="0" fontId="29" fillId="0" borderId="0" xfId="0" applyFont="1"/>
    <xf numFmtId="0" fontId="30" fillId="0" borderId="59" xfId="0" applyFont="1" applyBorder="1" applyAlignment="1">
      <alignment wrapText="1"/>
    </xf>
    <xf numFmtId="168" fontId="30" fillId="0" borderId="59" xfId="1" applyNumberFormat="1" applyFont="1" applyBorder="1" applyAlignment="1">
      <alignment horizontal="center"/>
    </xf>
    <xf numFmtId="166" fontId="30" fillId="0" borderId="59" xfId="2" applyFont="1" applyBorder="1" applyAlignment="1">
      <alignment horizontal="center"/>
    </xf>
    <xf numFmtId="166" fontId="30" fillId="0" borderId="60" xfId="2" applyFont="1" applyBorder="1" applyAlignment="1">
      <alignment horizontal="center"/>
    </xf>
    <xf numFmtId="0" fontId="30" fillId="0" borderId="145" xfId="0" applyFont="1" applyBorder="1" applyAlignment="1">
      <alignment wrapText="1"/>
    </xf>
    <xf numFmtId="168" fontId="30" fillId="0" borderId="145" xfId="1" applyNumberFormat="1" applyFont="1" applyBorder="1" applyAlignment="1">
      <alignment horizontal="center"/>
    </xf>
    <xf numFmtId="166" fontId="30" fillId="0" borderId="145" xfId="2" applyFont="1" applyBorder="1" applyAlignment="1">
      <alignment horizontal="center"/>
    </xf>
    <xf numFmtId="166" fontId="30" fillId="0" borderId="153" xfId="2" applyFont="1" applyBorder="1" applyAlignment="1">
      <alignment horizontal="center"/>
    </xf>
    <xf numFmtId="0" fontId="29" fillId="2" borderId="0" xfId="0" applyFont="1" applyFill="1" applyAlignment="1"/>
    <xf numFmtId="0" fontId="29" fillId="2" borderId="0" xfId="0" applyFont="1" applyFill="1"/>
    <xf numFmtId="0" fontId="29" fillId="0" borderId="0" xfId="0" applyFont="1" applyAlignment="1">
      <alignment horizontal="left"/>
    </xf>
    <xf numFmtId="0" fontId="29" fillId="0" borderId="37" xfId="0" applyFont="1" applyBorder="1" applyAlignment="1">
      <alignment horizontal="center" wrapText="1"/>
    </xf>
    <xf numFmtId="0" fontId="29" fillId="0" borderId="156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36" xfId="0" applyFont="1" applyBorder="1" applyAlignment="1">
      <alignment horizontal="center" wrapText="1"/>
    </xf>
    <xf numFmtId="0" fontId="30" fillId="0" borderId="53" xfId="0" applyFont="1" applyBorder="1" applyAlignment="1"/>
    <xf numFmtId="0" fontId="30" fillId="0" borderId="54" xfId="0" applyFont="1" applyBorder="1" applyAlignment="1"/>
    <xf numFmtId="0" fontId="30" fillId="0" borderId="55" xfId="0" applyFont="1" applyBorder="1" applyAlignment="1"/>
    <xf numFmtId="0" fontId="30" fillId="0" borderId="56" xfId="0" applyFont="1" applyBorder="1" applyAlignment="1"/>
    <xf numFmtId="0" fontId="30" fillId="0" borderId="52" xfId="0" applyFont="1" applyBorder="1" applyAlignment="1"/>
    <xf numFmtId="0" fontId="30" fillId="0" borderId="57" xfId="0" applyFont="1" applyBorder="1" applyAlignment="1"/>
    <xf numFmtId="0" fontId="30" fillId="0" borderId="58" xfId="0" applyFont="1" applyBorder="1" applyAlignment="1"/>
    <xf numFmtId="0" fontId="30" fillId="0" borderId="59" xfId="0" applyFont="1" applyBorder="1" applyAlignment="1"/>
    <xf numFmtId="0" fontId="30" fillId="0" borderId="60" xfId="0" applyFont="1" applyBorder="1" applyAlignment="1"/>
    <xf numFmtId="0" fontId="29" fillId="0" borderId="54" xfId="0" applyFont="1" applyBorder="1" applyAlignment="1"/>
    <xf numFmtId="0" fontId="29" fillId="0" borderId="55" xfId="0" applyFont="1" applyBorder="1" applyAlignment="1"/>
    <xf numFmtId="0" fontId="29" fillId="0" borderId="58" xfId="0" applyFont="1" applyBorder="1" applyAlignment="1">
      <alignment horizontal="center"/>
    </xf>
    <xf numFmtId="0" fontId="30" fillId="0" borderId="145" xfId="0" applyFont="1" applyBorder="1" applyAlignment="1"/>
    <xf numFmtId="0" fontId="30" fillId="0" borderId="153" xfId="0" applyFont="1" applyBorder="1" applyAlignment="1"/>
    <xf numFmtId="0" fontId="29" fillId="0" borderId="0" xfId="0" applyFont="1" applyAlignment="1">
      <alignment horizontal="center"/>
    </xf>
    <xf numFmtId="0" fontId="29" fillId="0" borderId="49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  <xf numFmtId="0" fontId="32" fillId="0" borderId="0" xfId="0" applyFont="1"/>
    <xf numFmtId="3" fontId="30" fillId="0" borderId="0" xfId="0" applyNumberFormat="1" applyFont="1"/>
    <xf numFmtId="0" fontId="11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center" wrapText="1"/>
    </xf>
    <xf numFmtId="0" fontId="11" fillId="0" borderId="46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45" xfId="0" applyFont="1" applyFill="1" applyBorder="1" applyAlignment="1">
      <alignment wrapText="1"/>
    </xf>
    <xf numFmtId="0" fontId="11" fillId="0" borderId="32" xfId="0" applyFont="1" applyFill="1" applyBorder="1" applyAlignment="1">
      <alignment wrapText="1"/>
    </xf>
    <xf numFmtId="0" fontId="0" fillId="0" borderId="45" xfId="0" applyFont="1" applyFill="1" applyBorder="1" applyAlignment="1">
      <alignment wrapText="1"/>
    </xf>
    <xf numFmtId="0" fontId="29" fillId="0" borderId="35" xfId="0" applyFont="1" applyBorder="1" applyAlignment="1">
      <alignment horizontal="center" wrapText="1"/>
    </xf>
    <xf numFmtId="3" fontId="29" fillId="0" borderId="4" xfId="0" applyNumberFormat="1" applyFont="1" applyBorder="1"/>
    <xf numFmtId="3" fontId="29" fillId="0" borderId="48" xfId="0" applyNumberFormat="1" applyFont="1" applyBorder="1"/>
    <xf numFmtId="3" fontId="29" fillId="0" borderId="31" xfId="0" applyNumberFormat="1" applyFont="1" applyBorder="1"/>
    <xf numFmtId="3" fontId="29" fillId="0" borderId="33" xfId="0" applyNumberFormat="1" applyFont="1" applyBorder="1"/>
    <xf numFmtId="3" fontId="30" fillId="0" borderId="4" xfId="0" applyNumberFormat="1" applyFont="1" applyBorder="1"/>
    <xf numFmtId="3" fontId="30" fillId="0" borderId="48" xfId="0" applyNumberFormat="1" applyFont="1" applyBorder="1"/>
    <xf numFmtId="0" fontId="10" fillId="0" borderId="179" xfId="0" applyFont="1" applyFill="1" applyBorder="1" applyAlignment="1">
      <alignment horizontal="center"/>
    </xf>
    <xf numFmtId="0" fontId="10" fillId="0" borderId="179" xfId="0" applyFont="1" applyFill="1" applyBorder="1" applyAlignment="1">
      <alignment wrapText="1"/>
    </xf>
    <xf numFmtId="0" fontId="10" fillId="0" borderId="162" xfId="0" applyFont="1" applyFill="1" applyBorder="1" applyAlignment="1">
      <alignment horizontal="center"/>
    </xf>
    <xf numFmtId="0" fontId="10" fillId="0" borderId="180" xfId="0" applyFont="1" applyFill="1" applyBorder="1" applyAlignment="1">
      <alignment wrapText="1"/>
    </xf>
    <xf numFmtId="3" fontId="33" fillId="0" borderId="104" xfId="0" applyNumberFormat="1" applyFont="1" applyBorder="1"/>
    <xf numFmtId="3" fontId="33" fillId="0" borderId="9" xfId="0" applyNumberFormat="1" applyFont="1" applyBorder="1"/>
    <xf numFmtId="3" fontId="33" fillId="0" borderId="105" xfId="0" applyNumberFormat="1" applyFont="1" applyBorder="1"/>
    <xf numFmtId="3" fontId="33" fillId="0" borderId="68" xfId="0" applyNumberFormat="1" applyFont="1" applyBorder="1"/>
    <xf numFmtId="3" fontId="33" fillId="0" borderId="17" xfId="0" applyNumberFormat="1" applyFont="1" applyBorder="1"/>
    <xf numFmtId="3" fontId="33" fillId="0" borderId="69" xfId="0" applyNumberFormat="1" applyFont="1" applyBorder="1"/>
    <xf numFmtId="3" fontId="33" fillId="0" borderId="112" xfId="0" applyNumberFormat="1" applyFont="1" applyBorder="1"/>
    <xf numFmtId="3" fontId="33" fillId="0" borderId="23" xfId="0" applyNumberFormat="1" applyFont="1" applyBorder="1"/>
    <xf numFmtId="3" fontId="33" fillId="0" borderId="113" xfId="0" applyNumberFormat="1" applyFont="1" applyBorder="1"/>
    <xf numFmtId="3" fontId="24" fillId="0" borderId="52" xfId="0" applyNumberFormat="1" applyFont="1" applyBorder="1"/>
    <xf numFmtId="3" fontId="24" fillId="0" borderId="57" xfId="0" applyNumberFormat="1" applyFont="1" applyBorder="1"/>
    <xf numFmtId="3" fontId="24" fillId="0" borderId="59" xfId="0" applyNumberFormat="1" applyFont="1" applyBorder="1"/>
    <xf numFmtId="3" fontId="24" fillId="0" borderId="60" xfId="0" applyNumberFormat="1" applyFont="1" applyBorder="1"/>
    <xf numFmtId="0" fontId="29" fillId="0" borderId="65" xfId="0" applyFont="1" applyBorder="1" applyAlignment="1">
      <alignment horizontal="center"/>
    </xf>
    <xf numFmtId="0" fontId="29" fillId="0" borderId="85" xfId="0" applyFont="1" applyFill="1" applyBorder="1" applyAlignment="1">
      <alignment wrapText="1"/>
    </xf>
    <xf numFmtId="0" fontId="29" fillId="0" borderId="86" xfId="0" applyFont="1" applyBorder="1"/>
    <xf numFmtId="0" fontId="29" fillId="0" borderId="66" xfId="0" applyFont="1" applyBorder="1"/>
    <xf numFmtId="0" fontId="29" fillId="0" borderId="85" xfId="0" applyFont="1" applyBorder="1"/>
    <xf numFmtId="0" fontId="29" fillId="0" borderId="67" xfId="0" applyFont="1" applyBorder="1"/>
    <xf numFmtId="3" fontId="29" fillId="0" borderId="0" xfId="0" applyNumberFormat="1" applyFont="1"/>
    <xf numFmtId="0" fontId="30" fillId="0" borderId="89" xfId="0" applyFont="1" applyBorder="1" applyAlignment="1">
      <alignment horizontal="center"/>
    </xf>
    <xf numFmtId="0" fontId="30" fillId="0" borderId="90" xfId="0" applyFont="1" applyFill="1" applyBorder="1" applyAlignment="1">
      <alignment wrapText="1"/>
    </xf>
    <xf numFmtId="0" fontId="30" fillId="0" borderId="91" xfId="0" applyFont="1" applyBorder="1"/>
    <xf numFmtId="0" fontId="30" fillId="0" borderId="92" xfId="0" applyFont="1" applyBorder="1"/>
    <xf numFmtId="0" fontId="30" fillId="0" borderId="90" xfId="0" applyFont="1" applyBorder="1"/>
    <xf numFmtId="0" fontId="30" fillId="0" borderId="111" xfId="0" applyFont="1" applyBorder="1"/>
    <xf numFmtId="0" fontId="29" fillId="0" borderId="0" xfId="0" applyFont="1" applyBorder="1" applyAlignment="1">
      <alignment horizontal="center"/>
    </xf>
    <xf numFmtId="0" fontId="29" fillId="0" borderId="0" xfId="0" applyFont="1" applyFill="1" applyBorder="1" applyAlignment="1">
      <alignment wrapText="1"/>
    </xf>
    <xf numFmtId="0" fontId="29" fillId="0" borderId="0" xfId="0" applyFont="1" applyBorder="1"/>
    <xf numFmtId="3" fontId="29" fillId="0" borderId="0" xfId="0" applyNumberFormat="1" applyFont="1" applyBorder="1"/>
    <xf numFmtId="0" fontId="29" fillId="0" borderId="99" xfId="0" applyFont="1" applyBorder="1" applyAlignment="1">
      <alignment horizontal="center" wrapText="1"/>
    </xf>
    <xf numFmtId="0" fontId="30" fillId="0" borderId="70" xfId="0" applyFont="1" applyFill="1" applyBorder="1" applyAlignment="1">
      <alignment horizontal="center"/>
    </xf>
    <xf numFmtId="0" fontId="30" fillId="0" borderId="74" xfId="0" applyFont="1" applyFill="1" applyBorder="1" applyAlignment="1">
      <alignment wrapText="1"/>
    </xf>
    <xf numFmtId="1" fontId="30" fillId="0" borderId="114" xfId="0" applyNumberFormat="1" applyFont="1" applyBorder="1"/>
    <xf numFmtId="0" fontId="30" fillId="0" borderId="18" xfId="0" applyFont="1" applyFill="1" applyBorder="1" applyAlignment="1">
      <alignment wrapText="1"/>
    </xf>
    <xf numFmtId="0" fontId="30" fillId="0" borderId="13" xfId="0" applyFont="1" applyFill="1" applyBorder="1" applyAlignment="1">
      <alignment wrapText="1"/>
    </xf>
    <xf numFmtId="167" fontId="10" fillId="0" borderId="153" xfId="0" applyNumberFormat="1" applyFont="1" applyBorder="1" applyAlignment="1">
      <alignment horizontal="center"/>
    </xf>
    <xf numFmtId="167" fontId="10" fillId="0" borderId="145" xfId="0" applyNumberFormat="1" applyFont="1" applyBorder="1" applyAlignment="1">
      <alignment horizontal="center"/>
    </xf>
    <xf numFmtId="0" fontId="10" fillId="0" borderId="0" xfId="0" applyFont="1"/>
    <xf numFmtId="0" fontId="14" fillId="0" borderId="0" xfId="0" applyFont="1"/>
    <xf numFmtId="168" fontId="10" fillId="0" borderId="0" xfId="1" applyNumberFormat="1" applyFont="1"/>
    <xf numFmtId="168" fontId="10" fillId="0" borderId="54" xfId="1" applyNumberFormat="1" applyFont="1" applyBorder="1"/>
    <xf numFmtId="0" fontId="0" fillId="0" borderId="0" xfId="0" applyFont="1"/>
    <xf numFmtId="0" fontId="10" fillId="0" borderId="145" xfId="0" applyFont="1" applyBorder="1"/>
    <xf numFmtId="3" fontId="30" fillId="0" borderId="52" xfId="0" applyNumberFormat="1" applyFont="1" applyBorder="1"/>
    <xf numFmtId="3" fontId="30" fillId="0" borderId="57" xfId="0" applyNumberFormat="1" applyFont="1" applyBorder="1"/>
    <xf numFmtId="3" fontId="30" fillId="0" borderId="59" xfId="0" applyNumberFormat="1" applyFont="1" applyBorder="1"/>
    <xf numFmtId="3" fontId="30" fillId="0" borderId="60" xfId="0" applyNumberFormat="1" applyFont="1" applyBorder="1"/>
    <xf numFmtId="3" fontId="30" fillId="0" borderId="53" xfId="0" applyNumberFormat="1" applyFont="1" applyBorder="1"/>
    <xf numFmtId="3" fontId="30" fillId="0" borderId="56" xfId="0" applyNumberFormat="1" applyFont="1" applyBorder="1"/>
    <xf numFmtId="0" fontId="10" fillId="0" borderId="181" xfId="0" applyFont="1" applyBorder="1" applyAlignment="1">
      <alignment horizontal="center"/>
    </xf>
    <xf numFmtId="3" fontId="30" fillId="0" borderId="153" xfId="0" applyNumberFormat="1" applyFont="1" applyBorder="1"/>
    <xf numFmtId="3" fontId="30" fillId="0" borderId="145" xfId="0" applyNumberFormat="1" applyFont="1" applyBorder="1"/>
    <xf numFmtId="166" fontId="10" fillId="0" borderId="145" xfId="2" applyFont="1" applyBorder="1"/>
    <xf numFmtId="166" fontId="10" fillId="0" borderId="153" xfId="2" applyFont="1" applyBorder="1"/>
    <xf numFmtId="3" fontId="10" fillId="0" borderId="0" xfId="0" applyNumberFormat="1" applyFont="1"/>
    <xf numFmtId="3" fontId="10" fillId="0" borderId="52" xfId="0" applyNumberFormat="1" applyFont="1" applyBorder="1"/>
    <xf numFmtId="3" fontId="10" fillId="0" borderId="59" xfId="0" applyNumberFormat="1" applyFont="1" applyBorder="1"/>
    <xf numFmtId="0" fontId="0" fillId="0" borderId="0" xfId="0" applyFont="1"/>
    <xf numFmtId="0" fontId="10" fillId="0" borderId="52" xfId="0" applyFont="1" applyFill="1" applyBorder="1" applyAlignment="1">
      <alignment wrapText="1"/>
    </xf>
    <xf numFmtId="0" fontId="10" fillId="0" borderId="56" xfId="0" applyFont="1" applyBorder="1" applyAlignment="1">
      <alignment horizontal="center"/>
    </xf>
    <xf numFmtId="0" fontId="30" fillId="0" borderId="0" xfId="0" applyFont="1"/>
    <xf numFmtId="0" fontId="30" fillId="0" borderId="45" xfId="0" applyFont="1" applyBorder="1"/>
    <xf numFmtId="3" fontId="30" fillId="0" borderId="0" xfId="0" applyNumberFormat="1" applyFont="1"/>
    <xf numFmtId="0" fontId="30" fillId="0" borderId="45" xfId="0" applyFont="1" applyFill="1" applyBorder="1" applyAlignment="1">
      <alignment wrapText="1"/>
    </xf>
    <xf numFmtId="1" fontId="30" fillId="0" borderId="9" xfId="0" applyNumberFormat="1" applyFont="1" applyBorder="1"/>
    <xf numFmtId="1" fontId="30" fillId="0" borderId="27" xfId="0" applyNumberFormat="1" applyFont="1" applyBorder="1"/>
    <xf numFmtId="1" fontId="30" fillId="0" borderId="26" xfId="5" applyNumberFormat="1" applyFont="1" applyBorder="1"/>
    <xf numFmtId="1" fontId="30" fillId="0" borderId="10" xfId="5" applyNumberFormat="1" applyFont="1" applyBorder="1"/>
    <xf numFmtId="1" fontId="30" fillId="0" borderId="15" xfId="0" applyNumberFormat="1" applyFont="1" applyBorder="1"/>
    <xf numFmtId="1" fontId="30" fillId="0" borderId="17" xfId="0" applyNumberFormat="1" applyFont="1" applyBorder="1"/>
    <xf numFmtId="1" fontId="30" fillId="0" borderId="18" xfId="5" applyNumberFormat="1" applyFont="1" applyBorder="1"/>
    <xf numFmtId="1" fontId="30" fillId="0" borderId="16" xfId="5" applyNumberFormat="1" applyFont="1" applyBorder="1"/>
    <xf numFmtId="1" fontId="30" fillId="0" borderId="24" xfId="5" applyNumberFormat="1" applyFont="1" applyBorder="1"/>
    <xf numFmtId="1" fontId="30" fillId="0" borderId="22" xfId="5" applyNumberFormat="1" applyFont="1" applyBorder="1"/>
    <xf numFmtId="0" fontId="30" fillId="0" borderId="102" xfId="0" applyFont="1" applyBorder="1" applyAlignment="1">
      <alignment horizontal="center"/>
    </xf>
    <xf numFmtId="0" fontId="30" fillId="0" borderId="4" xfId="0" applyFont="1" applyBorder="1"/>
    <xf numFmtId="0" fontId="30" fillId="0" borderId="48" xfId="0" applyFont="1" applyBorder="1"/>
    <xf numFmtId="0" fontId="30" fillId="0" borderId="125" xfId="0" applyFont="1" applyBorder="1"/>
    <xf numFmtId="1" fontId="30" fillId="0" borderId="68" xfId="0" applyNumberFormat="1" applyFont="1" applyBorder="1"/>
    <xf numFmtId="1" fontId="30" fillId="0" borderId="84" xfId="5" applyNumberFormat="1" applyFont="1" applyBorder="1" applyAlignment="1">
      <alignment horizontal="right"/>
    </xf>
    <xf numFmtId="1" fontId="30" fillId="0" borderId="51" xfId="5" applyNumberFormat="1" applyFont="1" applyBorder="1" applyAlignment="1">
      <alignment horizontal="right"/>
    </xf>
    <xf numFmtId="1" fontId="30" fillId="0" borderId="70" xfId="0" applyNumberFormat="1" applyFont="1" applyBorder="1"/>
    <xf numFmtId="1" fontId="30" fillId="0" borderId="71" xfId="0" applyNumberFormat="1" applyFont="1" applyBorder="1"/>
    <xf numFmtId="1" fontId="30" fillId="0" borderId="74" xfId="5" applyNumberFormat="1" applyFont="1" applyBorder="1"/>
    <xf numFmtId="1" fontId="30" fillId="0" borderId="124" xfId="5" applyNumberFormat="1" applyFont="1" applyBorder="1" applyAlignment="1">
      <alignment horizontal="right"/>
    </xf>
    <xf numFmtId="1" fontId="30" fillId="0" borderId="60" xfId="0" applyNumberFormat="1" applyFont="1" applyBorder="1"/>
    <xf numFmtId="1" fontId="30" fillId="0" borderId="55" xfId="0" applyNumberFormat="1" applyFont="1" applyBorder="1"/>
    <xf numFmtId="0" fontId="29" fillId="0" borderId="126" xfId="0" applyFont="1" applyBorder="1" applyAlignment="1">
      <alignment horizontal="center" wrapText="1"/>
    </xf>
    <xf numFmtId="0" fontId="29" fillId="0" borderId="182" xfId="0" applyFont="1" applyBorder="1" applyAlignment="1">
      <alignment horizontal="center" wrapText="1"/>
    </xf>
    <xf numFmtId="0" fontId="29" fillId="0" borderId="47" xfId="0" applyFont="1" applyBorder="1" applyAlignment="1">
      <alignment horizontal="center" wrapText="1"/>
    </xf>
    <xf numFmtId="0" fontId="29" fillId="0" borderId="170" xfId="0" applyFont="1" applyBorder="1" applyAlignment="1">
      <alignment horizontal="center" wrapText="1"/>
    </xf>
    <xf numFmtId="0" fontId="29" fillId="0" borderId="40" xfId="0" applyFont="1" applyBorder="1" applyAlignment="1">
      <alignment horizontal="center" wrapText="1"/>
    </xf>
    <xf numFmtId="0" fontId="18" fillId="0" borderId="0" xfId="19" applyFont="1" applyBorder="1" applyAlignment="1" applyProtection="1">
      <alignment horizontal="right"/>
    </xf>
    <xf numFmtId="0" fontId="18" fillId="0" borderId="0" xfId="139" applyFont="1" applyBorder="1" applyAlignment="1">
      <alignment horizontal="right"/>
    </xf>
    <xf numFmtId="0" fontId="18" fillId="0" borderId="0" xfId="44" applyFont="1" applyBorder="1" applyAlignment="1">
      <alignment horizontal="right"/>
    </xf>
    <xf numFmtId="0" fontId="10" fillId="0" borderId="58" xfId="0" applyFont="1" applyBorder="1" applyAlignment="1">
      <alignment horizontal="center"/>
    </xf>
    <xf numFmtId="0" fontId="14" fillId="0" borderId="54" xfId="0" applyFont="1" applyFill="1" applyBorder="1" applyAlignment="1">
      <alignment wrapText="1"/>
    </xf>
    <xf numFmtId="0" fontId="10" fillId="0" borderId="59" xfId="0" applyFont="1" applyFill="1" applyBorder="1" applyAlignment="1">
      <alignment wrapText="1"/>
    </xf>
    <xf numFmtId="0" fontId="14" fillId="0" borderId="53" xfId="0" applyFont="1" applyBorder="1" applyAlignment="1">
      <alignment horizontal="center"/>
    </xf>
    <xf numFmtId="0" fontId="10" fillId="0" borderId="145" xfId="0" applyFont="1" applyFill="1" applyBorder="1" applyAlignment="1">
      <alignment wrapText="1"/>
    </xf>
    <xf numFmtId="3" fontId="30" fillId="0" borderId="54" xfId="0" applyNumberFormat="1" applyFont="1" applyBorder="1"/>
    <xf numFmtId="3" fontId="30" fillId="0" borderId="55" xfId="0" applyNumberFormat="1" applyFont="1" applyBorder="1"/>
    <xf numFmtId="168" fontId="10" fillId="0" borderId="153" xfId="1" applyNumberFormat="1" applyFont="1" applyBorder="1"/>
    <xf numFmtId="168" fontId="10" fillId="0" borderId="145" xfId="1" applyNumberFormat="1" applyFont="1" applyBorder="1"/>
    <xf numFmtId="0" fontId="0" fillId="0" borderId="0" xfId="0"/>
    <xf numFmtId="0" fontId="10" fillId="0" borderId="0" xfId="0" applyFont="1"/>
    <xf numFmtId="0" fontId="10" fillId="0" borderId="53" xfId="0" applyFont="1" applyBorder="1" applyAlignment="1">
      <alignment horizontal="center"/>
    </xf>
    <xf numFmtId="0" fontId="0" fillId="0" borderId="0" xfId="0" applyFont="1"/>
    <xf numFmtId="0" fontId="10" fillId="0" borderId="152" xfId="0" applyFont="1" applyBorder="1" applyAlignment="1">
      <alignment horizontal="center"/>
    </xf>
    <xf numFmtId="0" fontId="0" fillId="0" borderId="0" xfId="0" applyFont="1" applyFill="1"/>
    <xf numFmtId="0" fontId="29" fillId="0" borderId="0" xfId="0" applyFont="1"/>
    <xf numFmtId="0" fontId="30" fillId="0" borderId="152" xfId="0" applyFont="1" applyBorder="1" applyAlignment="1">
      <alignment horizontal="center"/>
    </xf>
    <xf numFmtId="167" fontId="0" fillId="0" borderId="152" xfId="0" applyNumberFormat="1" applyFont="1" applyBorder="1" applyAlignment="1">
      <alignment horizontal="center"/>
    </xf>
    <xf numFmtId="0" fontId="18" fillId="0" borderId="0" xfId="139" applyFont="1" applyBorder="1" applyAlignment="1" applyProtection="1">
      <alignment horizontal="right"/>
    </xf>
    <xf numFmtId="0" fontId="18" fillId="0" borderId="0" xfId="44" applyFont="1" applyBorder="1" applyAlignment="1" applyProtection="1">
      <alignment horizontal="right"/>
    </xf>
    <xf numFmtId="0" fontId="18" fillId="0" borderId="0" xfId="139" applyNumberFormat="1" applyFont="1" applyBorder="1" applyAlignment="1" applyProtection="1">
      <alignment horizontal="right"/>
    </xf>
    <xf numFmtId="0" fontId="18" fillId="0" borderId="0" xfId="44" applyNumberFormat="1" applyFont="1" applyBorder="1" applyAlignment="1" applyProtection="1">
      <alignment horizontal="right"/>
    </xf>
    <xf numFmtId="0" fontId="18" fillId="0" borderId="0" xfId="139" applyFont="1" applyBorder="1" applyAlignment="1" applyProtection="1">
      <alignment horizontal="right"/>
    </xf>
    <xf numFmtId="0" fontId="18" fillId="0" borderId="0" xfId="58" applyFont="1" applyBorder="1" applyAlignment="1" applyProtection="1">
      <alignment horizontal="right"/>
    </xf>
    <xf numFmtId="0" fontId="0" fillId="0" borderId="65" xfId="0" applyFont="1" applyBorder="1" applyAlignment="1">
      <alignment horizontal="center"/>
    </xf>
    <xf numFmtId="0" fontId="11" fillId="0" borderId="85" xfId="0" applyFont="1" applyFill="1" applyBorder="1" applyAlignment="1">
      <alignment wrapText="1"/>
    </xf>
    <xf numFmtId="3" fontId="29" fillId="0" borderId="86" xfId="0" applyNumberFormat="1" applyFont="1" applyBorder="1"/>
    <xf numFmtId="3" fontId="29" fillId="0" borderId="66" xfId="0" applyNumberFormat="1" applyFont="1" applyBorder="1"/>
    <xf numFmtId="0" fontId="0" fillId="0" borderId="102" xfId="0" applyFont="1" applyBorder="1" applyAlignment="1">
      <alignment horizontal="center"/>
    </xf>
    <xf numFmtId="3" fontId="29" fillId="0" borderId="184" xfId="0" applyNumberFormat="1" applyFont="1" applyBorder="1"/>
    <xf numFmtId="0" fontId="0" fillId="0" borderId="185" xfId="0" applyFont="1" applyBorder="1" applyAlignment="1">
      <alignment horizontal="center"/>
    </xf>
    <xf numFmtId="3" fontId="29" fillId="0" borderId="186" xfId="0" applyNumberFormat="1" applyFont="1" applyBorder="1"/>
    <xf numFmtId="0" fontId="0" fillId="0" borderId="89" xfId="0" applyFont="1" applyBorder="1" applyAlignment="1">
      <alignment horizontal="center"/>
    </xf>
    <xf numFmtId="0" fontId="0" fillId="0" borderId="90" xfId="0" applyFont="1" applyFill="1" applyBorder="1" applyAlignment="1">
      <alignment wrapText="1"/>
    </xf>
    <xf numFmtId="3" fontId="30" fillId="0" borderId="91" xfId="0" applyNumberFormat="1" applyFont="1" applyBorder="1"/>
    <xf numFmtId="3" fontId="30" fillId="0" borderId="92" xfId="0" applyNumberFormat="1" applyFont="1" applyBorder="1"/>
    <xf numFmtId="3" fontId="30" fillId="0" borderId="97" xfId="0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wrapText="1"/>
    </xf>
    <xf numFmtId="3" fontId="30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/>
    <xf numFmtId="3" fontId="27" fillId="0" borderId="0" xfId="0" applyNumberFormat="1" applyFont="1"/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2" fillId="0" borderId="5" xfId="0" applyFont="1" applyBorder="1" applyAlignment="1">
      <alignment horizontal="center" wrapText="1"/>
    </xf>
    <xf numFmtId="0" fontId="22" fillId="0" borderId="40" xfId="0" applyFont="1" applyBorder="1" applyAlignment="1">
      <alignment horizontal="center" wrapText="1"/>
    </xf>
    <xf numFmtId="0" fontId="22" fillId="0" borderId="34" xfId="0" applyFont="1" applyBorder="1" applyAlignment="1">
      <alignment horizontal="center" wrapText="1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2" fillId="0" borderId="37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1" fillId="0" borderId="9" xfId="0" applyFont="1" applyFill="1" applyBorder="1" applyAlignment="1">
      <alignment horizontal="center"/>
    </xf>
    <xf numFmtId="0" fontId="21" fillId="0" borderId="10" xfId="0" applyFont="1" applyFill="1" applyBorder="1" applyAlignment="1">
      <alignment wrapText="1"/>
    </xf>
    <xf numFmtId="0" fontId="21" fillId="0" borderId="14" xfId="2" applyNumberFormat="1" applyFont="1" applyBorder="1"/>
    <xf numFmtId="0" fontId="21" fillId="0" borderId="15" xfId="0" applyFont="1" applyFill="1" applyBorder="1" applyAlignment="1">
      <alignment horizontal="center"/>
    </xf>
    <xf numFmtId="0" fontId="21" fillId="0" borderId="16" xfId="0" applyFont="1" applyFill="1" applyBorder="1" applyAlignment="1">
      <alignment wrapText="1"/>
    </xf>
    <xf numFmtId="0" fontId="21" fillId="0" borderId="19" xfId="2" applyNumberFormat="1" applyFont="1" applyBorder="1"/>
    <xf numFmtId="0" fontId="21" fillId="0" borderId="11" xfId="0" applyFont="1" applyFill="1" applyBorder="1" applyAlignment="1">
      <alignment horizontal="center"/>
    </xf>
    <xf numFmtId="0" fontId="21" fillId="0" borderId="20" xfId="0" applyFont="1" applyFill="1" applyBorder="1" applyAlignment="1">
      <alignment wrapText="1"/>
    </xf>
    <xf numFmtId="0" fontId="21" fillId="0" borderId="21" xfId="0" applyFont="1" applyFill="1" applyBorder="1" applyAlignment="1">
      <alignment horizontal="center"/>
    </xf>
    <xf numFmtId="0" fontId="21" fillId="0" borderId="22" xfId="0" applyFont="1" applyFill="1" applyBorder="1" applyAlignment="1">
      <alignment wrapText="1"/>
    </xf>
    <xf numFmtId="0" fontId="21" fillId="0" borderId="25" xfId="2" applyNumberFormat="1" applyFont="1" applyBorder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110" xfId="2" applyNumberFormat="1" applyFont="1" applyBorder="1"/>
    <xf numFmtId="0" fontId="21" fillId="0" borderId="118" xfId="2" applyNumberFormat="1" applyFont="1" applyBorder="1"/>
    <xf numFmtId="0" fontId="22" fillId="0" borderId="98" xfId="0" applyFont="1" applyBorder="1" applyAlignment="1">
      <alignment horizontal="center" wrapText="1"/>
    </xf>
    <xf numFmtId="0" fontId="22" fillId="0" borderId="99" xfId="0" applyFont="1" applyBorder="1" applyAlignment="1">
      <alignment horizontal="center" wrapText="1"/>
    </xf>
    <xf numFmtId="0" fontId="22" fillId="0" borderId="102" xfId="0" applyFont="1" applyBorder="1" applyAlignment="1">
      <alignment horizontal="center" wrapText="1"/>
    </xf>
    <xf numFmtId="0" fontId="21" fillId="0" borderId="104" xfId="0" applyFont="1" applyFill="1" applyBorder="1" applyAlignment="1">
      <alignment horizontal="center"/>
    </xf>
    <xf numFmtId="0" fontId="21" fillId="0" borderId="68" xfId="0" applyFont="1" applyFill="1" applyBorder="1" applyAlignment="1">
      <alignment horizontal="center"/>
    </xf>
    <xf numFmtId="0" fontId="21" fillId="0" borderId="87" xfId="0" applyFont="1" applyFill="1" applyBorder="1" applyAlignment="1">
      <alignment horizontal="center"/>
    </xf>
    <xf numFmtId="0" fontId="21" fillId="0" borderId="70" xfId="0" applyFont="1" applyFill="1" applyBorder="1" applyAlignment="1">
      <alignment horizontal="center"/>
    </xf>
    <xf numFmtId="0" fontId="21" fillId="0" borderId="74" xfId="0" applyFont="1" applyFill="1" applyBorder="1" applyAlignment="1">
      <alignment wrapText="1"/>
    </xf>
    <xf numFmtId="0" fontId="21" fillId="0" borderId="56" xfId="0" applyFont="1" applyBorder="1" applyAlignment="1">
      <alignment horizontal="center"/>
    </xf>
    <xf numFmtId="3" fontId="21" fillId="0" borderId="52" xfId="0" applyNumberFormat="1" applyFont="1" applyBorder="1"/>
    <xf numFmtId="0" fontId="21" fillId="0" borderId="0" xfId="0" applyFont="1" applyAlignment="1">
      <alignment horizontal="left"/>
    </xf>
    <xf numFmtId="0" fontId="22" fillId="0" borderId="53" xfId="0" applyFont="1" applyBorder="1" applyAlignment="1">
      <alignment horizontal="center"/>
    </xf>
    <xf numFmtId="0" fontId="21" fillId="0" borderId="58" xfId="0" applyFont="1" applyBorder="1" applyAlignment="1">
      <alignment horizontal="center"/>
    </xf>
    <xf numFmtId="3" fontId="21" fillId="0" borderId="59" xfId="0" applyNumberFormat="1" applyFont="1" applyBorder="1"/>
    <xf numFmtId="3" fontId="21" fillId="0" borderId="53" xfId="0" applyNumberFormat="1" applyFont="1" applyBorder="1"/>
    <xf numFmtId="3" fontId="21" fillId="0" borderId="55" xfId="0" applyNumberFormat="1" applyFont="1" applyBorder="1"/>
    <xf numFmtId="3" fontId="21" fillId="0" borderId="56" xfId="0" applyNumberFormat="1" applyFont="1" applyBorder="1"/>
    <xf numFmtId="3" fontId="21" fillId="0" borderId="57" xfId="0" applyNumberFormat="1" applyFont="1" applyBorder="1"/>
    <xf numFmtId="3" fontId="10" fillId="0" borderId="145" xfId="0" applyNumberFormat="1" applyFont="1" applyBorder="1" applyAlignment="1">
      <alignment horizontal="right"/>
    </xf>
    <xf numFmtId="0" fontId="29" fillId="0" borderId="188" xfId="0" applyFont="1" applyBorder="1" applyAlignment="1">
      <alignment horizontal="center" wrapText="1"/>
    </xf>
    <xf numFmtId="0" fontId="29" fillId="0" borderId="127" xfId="0" applyFont="1" applyBorder="1" applyAlignment="1">
      <alignment horizontal="center" wrapText="1"/>
    </xf>
    <xf numFmtId="0" fontId="29" fillId="0" borderId="171" xfId="0" applyFont="1" applyBorder="1" applyAlignment="1">
      <alignment horizontal="center" wrapText="1"/>
    </xf>
    <xf numFmtId="0" fontId="30" fillId="0" borderId="112" xfId="0" applyFont="1" applyFill="1" applyBorder="1" applyAlignment="1">
      <alignment horizontal="center"/>
    </xf>
    <xf numFmtId="0" fontId="29" fillId="0" borderId="75" xfId="0" applyFont="1" applyBorder="1" applyAlignment="1"/>
    <xf numFmtId="0" fontId="30" fillId="0" borderId="189" xfId="0" applyFont="1" applyBorder="1" applyAlignment="1"/>
    <xf numFmtId="0" fontId="29" fillId="0" borderId="75" xfId="0" applyFont="1" applyBorder="1" applyAlignment="1">
      <alignment wrapText="1"/>
    </xf>
    <xf numFmtId="0" fontId="30" fillId="0" borderId="189" xfId="0" applyFont="1" applyBorder="1" applyAlignment="1">
      <alignment wrapText="1"/>
    </xf>
    <xf numFmtId="0" fontId="30" fillId="0" borderId="76" xfId="0" applyFont="1" applyBorder="1" applyAlignment="1">
      <alignment wrapText="1"/>
    </xf>
    <xf numFmtId="0" fontId="30" fillId="0" borderId="77" xfId="0" applyFont="1" applyBorder="1" applyAlignment="1">
      <alignment wrapText="1"/>
    </xf>
    <xf numFmtId="0" fontId="29" fillId="0" borderId="140" xfId="0" applyFont="1" applyBorder="1" applyAlignment="1"/>
    <xf numFmtId="0" fontId="30" fillId="0" borderId="190" xfId="0" applyFont="1" applyBorder="1" applyAlignment="1"/>
    <xf numFmtId="0" fontId="29" fillId="0" borderId="53" xfId="0" applyFont="1" applyBorder="1" applyAlignment="1"/>
    <xf numFmtId="0" fontId="30" fillId="0" borderId="152" xfId="0" applyFont="1" applyBorder="1" applyAlignment="1"/>
    <xf numFmtId="0" fontId="29" fillId="0" borderId="146" xfId="0" applyFont="1" applyBorder="1" applyAlignment="1"/>
    <xf numFmtId="0" fontId="30" fillId="0" borderId="64" xfId="0" applyFont="1" applyBorder="1" applyAlignment="1"/>
    <xf numFmtId="0" fontId="29" fillId="0" borderId="78" xfId="0" applyFont="1" applyBorder="1" applyAlignment="1"/>
    <xf numFmtId="0" fontId="30" fillId="0" borderId="191" xfId="0" applyFont="1" applyBorder="1" applyAlignment="1"/>
    <xf numFmtId="0" fontId="30" fillId="0" borderId="79" xfId="0" applyFont="1" applyBorder="1" applyAlignment="1"/>
    <xf numFmtId="0" fontId="30" fillId="0" borderId="80" xfId="0" applyFont="1" applyBorder="1" applyAlignment="1"/>
    <xf numFmtId="0" fontId="30" fillId="0" borderId="78" xfId="0" applyFont="1" applyBorder="1" applyAlignment="1"/>
    <xf numFmtId="0" fontId="30" fillId="0" borderId="158" xfId="0" applyFont="1" applyBorder="1" applyAlignment="1"/>
    <xf numFmtId="0" fontId="30" fillId="0" borderId="174" xfId="0" applyFont="1" applyBorder="1" applyAlignment="1"/>
    <xf numFmtId="0" fontId="30" fillId="0" borderId="167" xfId="0" applyFont="1" applyBorder="1" applyAlignment="1"/>
    <xf numFmtId="3" fontId="29" fillId="0" borderId="66" xfId="0" applyNumberFormat="1" applyFont="1" applyBorder="1" applyAlignment="1">
      <alignment horizontal="center"/>
    </xf>
    <xf numFmtId="3" fontId="29" fillId="0" borderId="48" xfId="0" applyNumberFormat="1" applyFont="1" applyBorder="1" applyAlignment="1">
      <alignment horizontal="center"/>
    </xf>
    <xf numFmtId="3" fontId="29" fillId="0" borderId="33" xfId="0" applyNumberFormat="1" applyFont="1" applyBorder="1" applyAlignment="1">
      <alignment horizontal="center"/>
    </xf>
    <xf numFmtId="3" fontId="30" fillId="0" borderId="92" xfId="0" applyNumberFormat="1" applyFont="1" applyBorder="1" applyAlignment="1">
      <alignment horizontal="center"/>
    </xf>
    <xf numFmtId="3" fontId="29" fillId="0" borderId="85" xfId="0" applyNumberFormat="1" applyFont="1" applyBorder="1" applyAlignment="1">
      <alignment horizontal="center"/>
    </xf>
    <xf numFmtId="3" fontId="29" fillId="0" borderId="45" xfId="0" applyNumberFormat="1" applyFont="1" applyBorder="1" applyAlignment="1">
      <alignment horizontal="center"/>
    </xf>
    <xf numFmtId="3" fontId="29" fillId="0" borderId="32" xfId="0" applyNumberFormat="1" applyFont="1" applyBorder="1" applyAlignment="1">
      <alignment horizontal="center"/>
    </xf>
    <xf numFmtId="3" fontId="30" fillId="0" borderId="90" xfId="0" applyNumberFormat="1" applyFont="1" applyBorder="1" applyAlignment="1">
      <alignment horizontal="center"/>
    </xf>
    <xf numFmtId="3" fontId="30" fillId="0" borderId="58" xfId="0" applyNumberFormat="1" applyFont="1" applyBorder="1"/>
    <xf numFmtId="168" fontId="10" fillId="0" borderId="53" xfId="1" applyNumberFormat="1" applyFont="1" applyBorder="1"/>
    <xf numFmtId="1" fontId="30" fillId="0" borderId="51" xfId="0" applyNumberFormat="1" applyFont="1" applyBorder="1"/>
    <xf numFmtId="1" fontId="30" fillId="0" borderId="124" xfId="0" applyNumberFormat="1" applyFont="1" applyBorder="1"/>
    <xf numFmtId="0" fontId="29" fillId="0" borderId="143" xfId="0" applyFont="1" applyBorder="1" applyAlignment="1">
      <alignment horizontal="center" wrapText="1"/>
    </xf>
    <xf numFmtId="0" fontId="14" fillId="0" borderId="163" xfId="0" applyFont="1" applyFill="1" applyBorder="1" applyAlignment="1">
      <alignment wrapText="1"/>
    </xf>
    <xf numFmtId="0" fontId="10" fillId="0" borderId="67" xfId="0" applyFont="1" applyFill="1" applyBorder="1" applyAlignment="1">
      <alignment wrapText="1"/>
    </xf>
    <xf numFmtId="0" fontId="10" fillId="0" borderId="69" xfId="0" applyFont="1" applyFill="1" applyBorder="1" applyAlignment="1">
      <alignment wrapText="1"/>
    </xf>
    <xf numFmtId="0" fontId="10" fillId="0" borderId="94" xfId="0" applyFont="1" applyFill="1" applyBorder="1" applyAlignment="1">
      <alignment wrapText="1"/>
    </xf>
    <xf numFmtId="0" fontId="10" fillId="0" borderId="72" xfId="0" applyFont="1" applyFill="1" applyBorder="1" applyAlignment="1">
      <alignment wrapText="1"/>
    </xf>
    <xf numFmtId="0" fontId="10" fillId="0" borderId="0" xfId="0" applyFont="1" applyAlignment="1">
      <alignment horizontal="center" wrapText="1"/>
    </xf>
    <xf numFmtId="1" fontId="10" fillId="0" borderId="59" xfId="0" applyNumberFormat="1" applyFont="1" applyBorder="1"/>
    <xf numFmtId="1" fontId="14" fillId="0" borderId="54" xfId="0" applyNumberFormat="1" applyFont="1" applyBorder="1"/>
    <xf numFmtId="1" fontId="14" fillId="0" borderId="55" xfId="0" applyNumberFormat="1" applyFont="1" applyFill="1" applyBorder="1"/>
    <xf numFmtId="1" fontId="10" fillId="0" borderId="60" xfId="0" applyNumberFormat="1" applyFont="1" applyFill="1" applyBorder="1"/>
    <xf numFmtId="0" fontId="10" fillId="0" borderId="107" xfId="0" applyFont="1" applyBorder="1" applyAlignment="1">
      <alignment horizontal="center"/>
    </xf>
    <xf numFmtId="3" fontId="10" fillId="0" borderId="58" xfId="0" applyNumberFormat="1" applyFont="1" applyBorder="1"/>
    <xf numFmtId="0" fontId="20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horizontal="center" wrapText="1"/>
    </xf>
    <xf numFmtId="0" fontId="14" fillId="0" borderId="36" xfId="0" applyFont="1" applyFill="1" applyBorder="1" applyAlignment="1">
      <alignment horizontal="center" wrapText="1"/>
    </xf>
    <xf numFmtId="0" fontId="14" fillId="0" borderId="35" xfId="0" applyFont="1" applyFill="1" applyBorder="1" applyAlignment="1">
      <alignment horizontal="center" wrapText="1"/>
    </xf>
    <xf numFmtId="0" fontId="10" fillId="0" borderId="31" xfId="0" applyFont="1" applyFill="1" applyBorder="1" applyAlignment="1">
      <alignment horizontal="center"/>
    </xf>
    <xf numFmtId="0" fontId="10" fillId="0" borderId="165" xfId="0" applyFont="1" applyFill="1" applyBorder="1" applyAlignment="1">
      <alignment wrapText="1"/>
    </xf>
    <xf numFmtId="3" fontId="14" fillId="0" borderId="0" xfId="0" applyNumberFormat="1" applyFont="1" applyFill="1"/>
    <xf numFmtId="0" fontId="10" fillId="0" borderId="0" xfId="0" applyFont="1" applyFill="1" applyAlignment="1">
      <alignment horizontal="center"/>
    </xf>
    <xf numFmtId="0" fontId="39" fillId="0" borderId="0" xfId="0" applyFont="1" applyBorder="1" applyAlignment="1"/>
    <xf numFmtId="0" fontId="30" fillId="0" borderId="81" xfId="0" applyFont="1" applyBorder="1" applyAlignment="1">
      <alignment horizontal="center"/>
    </xf>
    <xf numFmtId="0" fontId="30" fillId="0" borderId="83" xfId="0" applyFont="1" applyBorder="1"/>
    <xf numFmtId="0" fontId="29" fillId="0" borderId="102" xfId="0" applyFont="1" applyBorder="1" applyAlignment="1">
      <alignment horizontal="center" wrapText="1"/>
    </xf>
    <xf numFmtId="0" fontId="31" fillId="0" borderId="133" xfId="0" applyFont="1" applyBorder="1" applyAlignment="1">
      <alignment wrapText="1"/>
    </xf>
    <xf numFmtId="0" fontId="31" fillId="0" borderId="134" xfId="0" applyFont="1" applyBorder="1" applyAlignment="1">
      <alignment wrapText="1"/>
    </xf>
    <xf numFmtId="0" fontId="41" fillId="0" borderId="53" xfId="0" applyFont="1" applyBorder="1" applyAlignment="1" applyProtection="1">
      <alignment horizontal="right"/>
    </xf>
    <xf numFmtId="0" fontId="41" fillId="0" borderId="55" xfId="0" applyFont="1" applyBorder="1" applyAlignment="1" applyProtection="1">
      <alignment horizontal="right"/>
    </xf>
    <xf numFmtId="0" fontId="41" fillId="0" borderId="56" xfId="0" applyFont="1" applyBorder="1" applyAlignment="1" applyProtection="1">
      <alignment horizontal="right"/>
    </xf>
    <xf numFmtId="0" fontId="41" fillId="0" borderId="57" xfId="0" applyFont="1" applyBorder="1" applyAlignment="1" applyProtection="1">
      <alignment horizontal="right"/>
    </xf>
    <xf numFmtId="1" fontId="41" fillId="0" borderId="56" xfId="0" applyNumberFormat="1" applyFont="1" applyBorder="1" applyAlignment="1" applyProtection="1">
      <alignment horizontal="right"/>
    </xf>
    <xf numFmtId="0" fontId="42" fillId="0" borderId="0" xfId="0" applyFont="1"/>
    <xf numFmtId="0" fontId="31" fillId="0" borderId="0" xfId="0" applyFont="1" applyFill="1" applyBorder="1" applyAlignment="1"/>
    <xf numFmtId="0" fontId="20" fillId="0" borderId="0" xfId="7" applyFont="1" applyAlignment="1"/>
    <xf numFmtId="0" fontId="21" fillId="0" borderId="0" xfId="60" applyNumberFormat="1" applyFont="1" applyBorder="1"/>
    <xf numFmtId="3" fontId="21" fillId="0" borderId="0" xfId="60" applyNumberFormat="1" applyFont="1" applyBorder="1"/>
    <xf numFmtId="1" fontId="22" fillId="0" borderId="62" xfId="60" applyNumberFormat="1" applyFont="1" applyBorder="1" applyAlignment="1">
      <alignment vertical="center"/>
    </xf>
    <xf numFmtId="1" fontId="22" fillId="4" borderId="63" xfId="7" applyNumberFormat="1" applyFont="1" applyFill="1" applyBorder="1" applyAlignment="1">
      <alignment horizontal="right" vertical="center"/>
    </xf>
    <xf numFmtId="1" fontId="22" fillId="0" borderId="63" xfId="7" applyNumberFormat="1" applyFont="1" applyBorder="1" applyAlignment="1">
      <alignment horizontal="right" vertical="center"/>
    </xf>
    <xf numFmtId="0" fontId="22" fillId="0" borderId="64" xfId="60" applyNumberFormat="1" applyFont="1" applyBorder="1" applyAlignment="1">
      <alignment vertical="center"/>
    </xf>
    <xf numFmtId="3" fontId="22" fillId="4" borderId="63" xfId="13" applyNumberFormat="1" applyFont="1" applyFill="1" applyBorder="1" applyAlignment="1">
      <alignment horizontal="right" vertical="center"/>
    </xf>
    <xf numFmtId="3" fontId="22" fillId="0" borderId="63" xfId="13" applyNumberFormat="1" applyFont="1" applyBorder="1" applyAlignment="1">
      <alignment horizontal="right" vertical="center"/>
    </xf>
    <xf numFmtId="0" fontId="22" fillId="0" borderId="0" xfId="59" applyNumberFormat="1" applyFont="1" applyBorder="1"/>
    <xf numFmtId="3" fontId="22" fillId="4" borderId="0" xfId="13" applyNumberFormat="1" applyFont="1" applyFill="1" applyBorder="1" applyAlignment="1"/>
    <xf numFmtId="3" fontId="21" fillId="0" borderId="0" xfId="13" applyNumberFormat="1" applyFont="1" applyBorder="1" applyAlignment="1">
      <alignment horizontal="right"/>
    </xf>
    <xf numFmtId="0" fontId="22" fillId="0" borderId="64" xfId="59" applyNumberFormat="1" applyFont="1" applyBorder="1"/>
    <xf numFmtId="3" fontId="22" fillId="4" borderId="64" xfId="13" applyNumberFormat="1" applyFont="1" applyFill="1" applyBorder="1" applyAlignment="1"/>
    <xf numFmtId="3" fontId="21" fillId="0" borderId="64" xfId="13" applyNumberFormat="1" applyFont="1" applyBorder="1" applyAlignment="1">
      <alignment horizontal="right"/>
    </xf>
    <xf numFmtId="0" fontId="43" fillId="0" borderId="0" xfId="0" applyFont="1" applyBorder="1"/>
    <xf numFmtId="3" fontId="23" fillId="0" borderId="0" xfId="0" applyNumberFormat="1" applyFont="1" applyFill="1"/>
    <xf numFmtId="3" fontId="23" fillId="0" borderId="0" xfId="0" applyNumberFormat="1" applyFont="1"/>
    <xf numFmtId="1" fontId="23" fillId="0" borderId="0" xfId="0" applyNumberFormat="1" applyFont="1"/>
    <xf numFmtId="0" fontId="22" fillId="0" borderId="0" xfId="0" applyFont="1"/>
    <xf numFmtId="165" fontId="21" fillId="0" borderId="52" xfId="2" applyNumberFormat="1" applyFont="1" applyBorder="1"/>
    <xf numFmtId="165" fontId="21" fillId="0" borderId="52" xfId="2" applyNumberFormat="1" applyFont="1" applyFill="1" applyBorder="1"/>
    <xf numFmtId="165" fontId="21" fillId="0" borderId="57" xfId="2" applyNumberFormat="1" applyFont="1" applyFill="1" applyBorder="1"/>
    <xf numFmtId="165" fontId="21" fillId="0" borderId="59" xfId="2" applyNumberFormat="1" applyFont="1" applyBorder="1"/>
    <xf numFmtId="165" fontId="21" fillId="0" borderId="59" xfId="2" applyNumberFormat="1" applyFont="1" applyFill="1" applyBorder="1"/>
    <xf numFmtId="165" fontId="21" fillId="0" borderId="60" xfId="2" applyNumberFormat="1" applyFont="1" applyFill="1" applyBorder="1"/>
    <xf numFmtId="0" fontId="22" fillId="0" borderId="0" xfId="0" applyFont="1" applyFill="1" applyBorder="1" applyAlignment="1">
      <alignment wrapText="1"/>
    </xf>
    <xf numFmtId="3" fontId="22" fillId="0" borderId="0" xfId="0" applyNumberFormat="1" applyFont="1" applyBorder="1"/>
    <xf numFmtId="165" fontId="22" fillId="0" borderId="0" xfId="2" applyNumberFormat="1" applyFont="1" applyBorder="1"/>
    <xf numFmtId="165" fontId="22" fillId="0" borderId="0" xfId="2" applyNumberFormat="1" applyFont="1" applyFill="1" applyBorder="1"/>
    <xf numFmtId="0" fontId="21" fillId="0" borderId="0" xfId="0" applyFont="1" applyBorder="1"/>
    <xf numFmtId="0" fontId="22" fillId="0" borderId="0" xfId="0" applyFont="1" applyBorder="1"/>
    <xf numFmtId="0" fontId="21" fillId="0" borderId="0" xfId="0" applyFont="1" applyBorder="1" applyAlignment="1">
      <alignment horizontal="left"/>
    </xf>
    <xf numFmtId="0" fontId="21" fillId="0" borderId="0" xfId="0" applyFont="1" applyFill="1" applyBorder="1" applyAlignment="1">
      <alignment wrapText="1"/>
    </xf>
    <xf numFmtId="3" fontId="21" fillId="0" borderId="0" xfId="0" applyNumberFormat="1" applyFont="1" applyBorder="1"/>
    <xf numFmtId="165" fontId="21" fillId="0" borderId="0" xfId="2" applyNumberFormat="1" applyFont="1" applyBorder="1"/>
    <xf numFmtId="165" fontId="21" fillId="0" borderId="0" xfId="2" applyNumberFormat="1" applyFont="1" applyFill="1" applyBorder="1"/>
    <xf numFmtId="0" fontId="41" fillId="0" borderId="107" xfId="0" applyFont="1" applyBorder="1" applyAlignment="1" applyProtection="1">
      <alignment horizontal="right"/>
    </xf>
    <xf numFmtId="0" fontId="41" fillId="0" borderId="109" xfId="0" applyFont="1" applyBorder="1" applyAlignment="1" applyProtection="1">
      <alignment horizontal="right"/>
    </xf>
    <xf numFmtId="0" fontId="22" fillId="0" borderId="133" xfId="0" applyFont="1" applyBorder="1" applyAlignment="1">
      <alignment horizontal="center" wrapText="1"/>
    </xf>
    <xf numFmtId="0" fontId="22" fillId="0" borderId="166" xfId="0" applyFont="1" applyBorder="1" applyAlignment="1">
      <alignment horizontal="center" wrapText="1"/>
    </xf>
    <xf numFmtId="0" fontId="22" fillId="0" borderId="134" xfId="0" applyFont="1" applyBorder="1" applyAlignment="1">
      <alignment horizontal="center" wrapText="1"/>
    </xf>
    <xf numFmtId="0" fontId="22" fillId="0" borderId="83" xfId="0" applyFont="1" applyBorder="1" applyAlignment="1">
      <alignment horizontal="center" wrapText="1"/>
    </xf>
    <xf numFmtId="0" fontId="21" fillId="0" borderId="193" xfId="2" applyNumberFormat="1" applyFont="1" applyBorder="1"/>
    <xf numFmtId="3" fontId="21" fillId="0" borderId="145" xfId="0" applyNumberFormat="1" applyFont="1" applyBorder="1"/>
    <xf numFmtId="0" fontId="21" fillId="0" borderId="189" xfId="0" applyFont="1" applyFill="1" applyBorder="1" applyAlignment="1">
      <alignment wrapText="1"/>
    </xf>
    <xf numFmtId="0" fontId="21" fillId="0" borderId="76" xfId="0" applyFont="1" applyFill="1" applyBorder="1" applyAlignment="1">
      <alignment wrapText="1"/>
    </xf>
    <xf numFmtId="0" fontId="21" fillId="0" borderId="152" xfId="0" applyFont="1" applyBorder="1" applyAlignment="1">
      <alignment horizontal="center"/>
    </xf>
    <xf numFmtId="0" fontId="21" fillId="0" borderId="77" xfId="0" applyFont="1" applyFill="1" applyBorder="1" applyAlignment="1">
      <alignment wrapText="1"/>
    </xf>
    <xf numFmtId="3" fontId="21" fillId="0" borderId="58" xfId="0" applyNumberFormat="1" applyFont="1" applyBorder="1"/>
    <xf numFmtId="3" fontId="30" fillId="0" borderId="48" xfId="0" applyNumberFormat="1" applyFont="1" applyBorder="1" applyAlignment="1">
      <alignment horizontal="center"/>
    </xf>
    <xf numFmtId="3" fontId="30" fillId="0" borderId="45" xfId="0" applyNumberFormat="1" applyFont="1" applyBorder="1" applyAlignment="1">
      <alignment horizontal="center"/>
    </xf>
    <xf numFmtId="3" fontId="30" fillId="0" borderId="184" xfId="0" applyNumberFormat="1" applyFont="1" applyBorder="1"/>
    <xf numFmtId="3" fontId="30" fillId="0" borderId="190" xfId="0" applyNumberFormat="1" applyFont="1" applyBorder="1"/>
    <xf numFmtId="3" fontId="30" fillId="0" borderId="141" xfId="0" applyNumberFormat="1" applyFont="1" applyBorder="1"/>
    <xf numFmtId="3" fontId="30" fillId="0" borderId="142" xfId="0" applyNumberFormat="1" applyFont="1" applyBorder="1"/>
    <xf numFmtId="3" fontId="30" fillId="0" borderId="191" xfId="0" applyNumberFormat="1" applyFont="1" applyBorder="1"/>
    <xf numFmtId="0" fontId="30" fillId="0" borderId="191" xfId="0" applyFont="1" applyFill="1" applyBorder="1" applyAlignment="1">
      <alignment wrapText="1"/>
    </xf>
    <xf numFmtId="0" fontId="30" fillId="0" borderId="79" xfId="0" applyFont="1" applyFill="1" applyBorder="1" applyAlignment="1">
      <alignment wrapText="1"/>
    </xf>
    <xf numFmtId="0" fontId="30" fillId="0" borderId="80" xfId="0" applyFont="1" applyFill="1" applyBorder="1" applyAlignment="1">
      <alignment wrapText="1"/>
    </xf>
    <xf numFmtId="168" fontId="10" fillId="0" borderId="152" xfId="1" applyNumberFormat="1" applyFont="1" applyBorder="1"/>
    <xf numFmtId="168" fontId="10" fillId="0" borderId="174" xfId="1" applyNumberFormat="1" applyFont="1" applyBorder="1"/>
    <xf numFmtId="168" fontId="10" fillId="0" borderId="167" xfId="1" applyNumberFormat="1" applyFont="1" applyBorder="1"/>
    <xf numFmtId="3" fontId="10" fillId="0" borderId="153" xfId="1" applyNumberFormat="1" applyFont="1" applyBorder="1"/>
    <xf numFmtId="3" fontId="10" fillId="0" borderId="167" xfId="1" applyNumberFormat="1" applyFont="1" applyBorder="1"/>
    <xf numFmtId="3" fontId="14" fillId="0" borderId="55" xfId="1" applyNumberFormat="1" applyFont="1" applyBorder="1"/>
    <xf numFmtId="168" fontId="14" fillId="0" borderId="143" xfId="1" applyNumberFormat="1" applyFont="1" applyBorder="1" applyAlignment="1">
      <alignment horizontal="center" wrapText="1"/>
    </xf>
    <xf numFmtId="1" fontId="10" fillId="0" borderId="78" xfId="1" applyNumberFormat="1" applyFont="1" applyBorder="1"/>
    <xf numFmtId="1" fontId="10" fillId="0" borderId="79" xfId="1" applyNumberFormat="1" applyFont="1" applyBorder="1"/>
    <xf numFmtId="3" fontId="21" fillId="0" borderId="140" xfId="0" applyNumberFormat="1" applyFont="1" applyBorder="1"/>
    <xf numFmtId="3" fontId="21" fillId="0" borderId="141" xfId="0" applyNumberFormat="1" applyFont="1" applyBorder="1"/>
    <xf numFmtId="3" fontId="21" fillId="0" borderId="192" xfId="0" applyNumberFormat="1" applyFont="1" applyBorder="1"/>
    <xf numFmtId="0" fontId="21" fillId="0" borderId="0" xfId="0" applyFont="1" applyFill="1" applyBorder="1"/>
    <xf numFmtId="0" fontId="0" fillId="0" borderId="76" xfId="0" applyFont="1" applyBorder="1"/>
    <xf numFmtId="0" fontId="0" fillId="0" borderId="77" xfId="0" applyFont="1" applyBorder="1"/>
    <xf numFmtId="167" fontId="0" fillId="0" borderId="56" xfId="0" applyNumberFormat="1" applyFont="1" applyBorder="1" applyAlignment="1">
      <alignment horizontal="center"/>
    </xf>
    <xf numFmtId="167" fontId="0" fillId="0" borderId="58" xfId="0" applyNumberFormat="1" applyFont="1" applyBorder="1" applyAlignment="1">
      <alignment horizontal="center"/>
    </xf>
    <xf numFmtId="0" fontId="10" fillId="0" borderId="173" xfId="0" applyFont="1" applyBorder="1" applyAlignment="1">
      <alignment horizontal="center"/>
    </xf>
    <xf numFmtId="1" fontId="30" fillId="0" borderId="84" xfId="5" applyNumberFormat="1" applyFont="1" applyBorder="1"/>
    <xf numFmtId="1" fontId="30" fillId="0" borderId="51" xfId="5" applyNumberFormat="1" applyFont="1" applyBorder="1"/>
    <xf numFmtId="1" fontId="30" fillId="0" borderId="124" xfId="5" applyNumberFormat="1" applyFont="1" applyBorder="1"/>
    <xf numFmtId="0" fontId="30" fillId="0" borderId="0" xfId="0" applyFont="1" applyAlignment="1">
      <alignment horizontal="left" vertical="top"/>
    </xf>
    <xf numFmtId="0" fontId="22" fillId="0" borderId="173" xfId="0" applyFont="1" applyBorder="1" applyAlignment="1">
      <alignment horizontal="center" wrapText="1"/>
    </xf>
    <xf numFmtId="0" fontId="22" fillId="0" borderId="174" xfId="0" applyFont="1" applyBorder="1" applyAlignment="1">
      <alignment horizontal="center" wrapText="1"/>
    </xf>
    <xf numFmtId="0" fontId="22" fillId="0" borderId="167" xfId="0" applyFont="1" applyBorder="1" applyAlignment="1">
      <alignment horizontal="center" wrapText="1"/>
    </xf>
    <xf numFmtId="0" fontId="22" fillId="0" borderId="111" xfId="0" applyFont="1" applyBorder="1" applyAlignment="1">
      <alignment horizontal="center" wrapText="1"/>
    </xf>
    <xf numFmtId="0" fontId="10" fillId="0" borderId="189" xfId="0" applyFont="1" applyFill="1" applyBorder="1" applyAlignment="1">
      <alignment wrapText="1"/>
    </xf>
    <xf numFmtId="0" fontId="14" fillId="0" borderId="55" xfId="0" applyFont="1" applyBorder="1"/>
    <xf numFmtId="0" fontId="10" fillId="0" borderId="60" xfId="0" applyFont="1" applyBorder="1"/>
    <xf numFmtId="0" fontId="14" fillId="0" borderId="75" xfId="0" applyFont="1" applyFill="1" applyBorder="1" applyAlignment="1">
      <alignment wrapText="1"/>
    </xf>
    <xf numFmtId="0" fontId="14" fillId="0" borderId="148" xfId="0" applyFont="1" applyBorder="1"/>
    <xf numFmtId="0" fontId="14" fillId="0" borderId="53" xfId="0" applyFont="1" applyBorder="1"/>
    <xf numFmtId="3" fontId="18" fillId="0" borderId="55" xfId="0" applyNumberFormat="1" applyFont="1" applyBorder="1" applyAlignment="1" applyProtection="1">
      <alignment horizontal="right"/>
    </xf>
    <xf numFmtId="3" fontId="18" fillId="0" borderId="57" xfId="0" applyNumberFormat="1" applyFont="1" applyBorder="1" applyAlignment="1" applyProtection="1">
      <alignment horizontal="right"/>
    </xf>
    <xf numFmtId="3" fontId="18" fillId="0" borderId="60" xfId="0" applyNumberFormat="1" applyFont="1" applyBorder="1" applyAlignment="1" applyProtection="1">
      <alignment horizontal="right"/>
    </xf>
    <xf numFmtId="3" fontId="21" fillId="0" borderId="152" xfId="0" applyNumberFormat="1" applyFont="1" applyBorder="1"/>
    <xf numFmtId="3" fontId="21" fillId="0" borderId="153" xfId="0" applyNumberFormat="1" applyFont="1" applyBorder="1"/>
    <xf numFmtId="0" fontId="22" fillId="0" borderId="75" xfId="0" applyFont="1" applyFill="1" applyBorder="1" applyAlignment="1">
      <alignment wrapText="1"/>
    </xf>
    <xf numFmtId="3" fontId="22" fillId="0" borderId="53" xfId="0" applyNumberFormat="1" applyFont="1" applyBorder="1"/>
    <xf numFmtId="3" fontId="22" fillId="0" borderId="55" xfId="0" applyNumberFormat="1" applyFont="1" applyBorder="1"/>
    <xf numFmtId="0" fontId="30" fillId="0" borderId="203" xfId="0" applyFont="1" applyBorder="1" applyAlignment="1"/>
    <xf numFmtId="3" fontId="30" fillId="0" borderId="191" xfId="0" applyNumberFormat="1" applyFont="1" applyBorder="1" applyAlignment="1"/>
    <xf numFmtId="3" fontId="30" fillId="0" borderId="76" xfId="0" applyNumberFormat="1" applyFont="1" applyBorder="1"/>
    <xf numFmtId="0" fontId="14" fillId="0" borderId="130" xfId="0" applyFont="1" applyBorder="1" applyAlignment="1">
      <alignment horizontal="center" wrapText="1"/>
    </xf>
    <xf numFmtId="168" fontId="10" fillId="0" borderId="56" xfId="1" applyNumberFormat="1" applyFont="1" applyBorder="1"/>
    <xf numFmtId="168" fontId="10" fillId="0" borderId="58" xfId="1" applyNumberFormat="1" applyFont="1" applyBorder="1"/>
    <xf numFmtId="166" fontId="10" fillId="0" borderId="63" xfId="2" applyFont="1" applyBorder="1"/>
    <xf numFmtId="171" fontId="44" fillId="0" borderId="53" xfId="17" applyFont="1" applyFill="1" applyBorder="1" applyAlignment="1" applyProtection="1">
      <alignment horizontal="center"/>
    </xf>
    <xf numFmtId="171" fontId="44" fillId="0" borderId="56" xfId="17" applyFont="1" applyFill="1" applyBorder="1" applyAlignment="1" applyProtection="1">
      <alignment horizontal="center"/>
      <protection locked="0"/>
    </xf>
    <xf numFmtId="171" fontId="44" fillId="0" borderId="56" xfId="438" applyFont="1" applyFill="1" applyBorder="1" applyAlignment="1" applyProtection="1">
      <alignment horizontal="center"/>
      <protection locked="0"/>
    </xf>
    <xf numFmtId="171" fontId="44" fillId="0" borderId="58" xfId="438" applyFont="1" applyFill="1" applyBorder="1" applyAlignment="1" applyProtection="1">
      <alignment horizontal="center"/>
      <protection locked="0"/>
    </xf>
    <xf numFmtId="0" fontId="44" fillId="0" borderId="75" xfId="0" applyFont="1" applyFill="1" applyBorder="1" applyAlignment="1" applyProtection="1">
      <alignment horizontal="center"/>
    </xf>
    <xf numFmtId="49" fontId="44" fillId="0" borderId="76" xfId="0" applyNumberFormat="1" applyFont="1" applyFill="1" applyBorder="1" applyAlignment="1" applyProtection="1">
      <alignment horizontal="center"/>
      <protection locked="0"/>
    </xf>
    <xf numFmtId="49" fontId="44" fillId="0" borderId="77" xfId="0" applyNumberFormat="1" applyFont="1" applyFill="1" applyBorder="1" applyAlignment="1" applyProtection="1">
      <alignment horizontal="center"/>
      <protection locked="0"/>
    </xf>
    <xf numFmtId="3" fontId="15" fillId="0" borderId="54" xfId="0" applyNumberFormat="1" applyFont="1" applyBorder="1"/>
    <xf numFmtId="3" fontId="15" fillId="0" borderId="55" xfId="0" applyNumberFormat="1" applyFont="1" applyBorder="1"/>
    <xf numFmtId="3" fontId="15" fillId="0" borderId="53" xfId="0" applyNumberFormat="1" applyFont="1" applyBorder="1"/>
    <xf numFmtId="3" fontId="24" fillId="0" borderId="58" xfId="0" applyNumberFormat="1" applyFont="1" applyBorder="1"/>
    <xf numFmtId="3" fontId="15" fillId="0" borderId="75" xfId="0" applyNumberFormat="1" applyFont="1" applyBorder="1"/>
    <xf numFmtId="3" fontId="24" fillId="0" borderId="77" xfId="0" applyNumberFormat="1" applyFont="1" applyBorder="1"/>
    <xf numFmtId="1" fontId="10" fillId="0" borderId="145" xfId="0" applyNumberFormat="1" applyFont="1" applyBorder="1"/>
    <xf numFmtId="1" fontId="10" fillId="0" borderId="153" xfId="0" applyNumberFormat="1" applyFont="1" applyFill="1" applyBorder="1"/>
    <xf numFmtId="0" fontId="10" fillId="0" borderId="59" xfId="0" applyFont="1" applyBorder="1" applyAlignment="1">
      <alignment horizontal="center"/>
    </xf>
    <xf numFmtId="0" fontId="18" fillId="0" borderId="52" xfId="0" applyFont="1" applyBorder="1" applyProtection="1"/>
    <xf numFmtId="0" fontId="18" fillId="0" borderId="53" xfId="0" applyFont="1" applyBorder="1" applyProtection="1"/>
    <xf numFmtId="0" fontId="18" fillId="0" borderId="54" xfId="0" applyFont="1" applyBorder="1" applyProtection="1"/>
    <xf numFmtId="0" fontId="18" fillId="0" borderId="55" xfId="0" applyFont="1" applyBorder="1" applyProtection="1"/>
    <xf numFmtId="0" fontId="18" fillId="0" borderId="56" xfId="0" applyFont="1" applyBorder="1" applyProtection="1"/>
    <xf numFmtId="0" fontId="18" fillId="0" borderId="57" xfId="0" applyFont="1" applyBorder="1" applyProtection="1"/>
    <xf numFmtId="0" fontId="18" fillId="0" borderId="58" xfId="0" applyFont="1" applyBorder="1" applyProtection="1"/>
    <xf numFmtId="0" fontId="18" fillId="0" borderId="59" xfId="0" applyFont="1" applyBorder="1" applyProtection="1"/>
    <xf numFmtId="0" fontId="18" fillId="0" borderId="60" xfId="0" applyFont="1" applyBorder="1" applyProtection="1"/>
    <xf numFmtId="0" fontId="10" fillId="0" borderId="174" xfId="0" applyFont="1" applyFill="1" applyBorder="1" applyAlignment="1">
      <alignment wrapText="1"/>
    </xf>
    <xf numFmtId="1" fontId="30" fillId="0" borderId="57" xfId="0" applyNumberFormat="1" applyFont="1" applyBorder="1" applyAlignment="1">
      <alignment horizontal="center"/>
    </xf>
    <xf numFmtId="1" fontId="30" fillId="0" borderId="60" xfId="0" applyNumberFormat="1" applyFont="1" applyBorder="1" applyAlignment="1">
      <alignment horizontal="center"/>
    </xf>
    <xf numFmtId="1" fontId="30" fillId="0" borderId="55" xfId="0" applyNumberFormat="1" applyFont="1" applyBorder="1" applyAlignment="1">
      <alignment horizontal="center"/>
    </xf>
    <xf numFmtId="0" fontId="20" fillId="7" borderId="0" xfId="7" applyFont="1" applyFill="1" applyAlignment="1"/>
    <xf numFmtId="0" fontId="23" fillId="7" borderId="0" xfId="7" applyFont="1" applyFill="1" applyAlignment="1">
      <alignment horizontal="center"/>
    </xf>
    <xf numFmtId="0" fontId="23" fillId="0" borderId="0" xfId="0" applyFont="1"/>
    <xf numFmtId="0" fontId="20" fillId="0" borderId="0" xfId="0" applyFont="1"/>
    <xf numFmtId="3" fontId="21" fillId="7" borderId="0" xfId="13" applyNumberFormat="1" applyFont="1" applyFill="1" applyBorder="1" applyAlignment="1">
      <alignment horizontal="right"/>
    </xf>
    <xf numFmtId="0" fontId="22" fillId="0" borderId="64" xfId="0" applyFont="1" applyBorder="1"/>
    <xf numFmtId="1" fontId="22" fillId="0" borderId="0" xfId="7" applyNumberFormat="1" applyFont="1" applyBorder="1" applyAlignment="1">
      <alignment horizontal="right" vertical="center"/>
    </xf>
    <xf numFmtId="3" fontId="27" fillId="0" borderId="64" xfId="13" applyNumberFormat="1" applyFont="1" applyBorder="1" applyAlignment="1">
      <alignment horizontal="right"/>
    </xf>
    <xf numFmtId="0" fontId="40" fillId="0" borderId="0" xfId="0" applyFont="1" applyBorder="1"/>
    <xf numFmtId="3" fontId="21" fillId="0" borderId="0" xfId="13" applyNumberFormat="1" applyFont="1" applyFill="1" applyBorder="1" applyAlignment="1">
      <alignment horizontal="right"/>
    </xf>
    <xf numFmtId="3" fontId="23" fillId="0" borderId="63" xfId="0" applyNumberFormat="1" applyFont="1" applyFill="1" applyBorder="1"/>
    <xf numFmtId="3" fontId="23" fillId="0" borderId="63" xfId="0" applyNumberFormat="1" applyFont="1" applyBorder="1"/>
    <xf numFmtId="3" fontId="21" fillId="0" borderId="63" xfId="13" applyNumberFormat="1" applyFont="1" applyFill="1" applyBorder="1" applyAlignment="1">
      <alignment horizontal="right"/>
    </xf>
    <xf numFmtId="1" fontId="14" fillId="0" borderId="55" xfId="1" applyNumberFormat="1" applyFont="1" applyBorder="1"/>
    <xf numFmtId="167" fontId="11" fillId="0" borderId="55" xfId="0" applyNumberFormat="1" applyFont="1" applyBorder="1" applyAlignment="1">
      <alignment horizontal="center"/>
    </xf>
    <xf numFmtId="0" fontId="11" fillId="0" borderId="75" xfId="0" applyFont="1" applyBorder="1"/>
    <xf numFmtId="167" fontId="11" fillId="0" borderId="53" xfId="0" applyNumberFormat="1" applyFont="1" applyBorder="1" applyAlignment="1">
      <alignment horizontal="center"/>
    </xf>
    <xf numFmtId="0" fontId="18" fillId="0" borderId="55" xfId="0" applyNumberFormat="1" applyFont="1" applyBorder="1" applyAlignment="1" applyProtection="1">
      <alignment horizontal="right"/>
    </xf>
    <xf numFmtId="0" fontId="18" fillId="0" borderId="57" xfId="0" applyNumberFormat="1" applyFont="1" applyBorder="1" applyAlignment="1" applyProtection="1">
      <alignment horizontal="right"/>
    </xf>
    <xf numFmtId="0" fontId="18" fillId="0" borderId="60" xfId="0" applyNumberFormat="1" applyFont="1" applyBorder="1" applyAlignment="1" applyProtection="1">
      <alignment horizontal="right"/>
    </xf>
    <xf numFmtId="166" fontId="10" fillId="0" borderId="174" xfId="2" applyFont="1" applyBorder="1"/>
    <xf numFmtId="166" fontId="10" fillId="0" borderId="167" xfId="2" applyFont="1" applyBorder="1"/>
    <xf numFmtId="0" fontId="10" fillId="5" borderId="138" xfId="1" applyNumberFormat="1" applyFont="1" applyFill="1" applyBorder="1"/>
    <xf numFmtId="0" fontId="10" fillId="5" borderId="118" xfId="2" applyNumberFormat="1" applyFont="1" applyFill="1" applyBorder="1"/>
    <xf numFmtId="0" fontId="10" fillId="5" borderId="119" xfId="2" applyNumberFormat="1" applyFont="1" applyFill="1" applyBorder="1"/>
    <xf numFmtId="167" fontId="10" fillId="0" borderId="174" xfId="0" applyNumberFormat="1" applyFont="1" applyBorder="1" applyAlignment="1">
      <alignment horizontal="center"/>
    </xf>
    <xf numFmtId="167" fontId="10" fillId="0" borderId="167" xfId="0" applyNumberFormat="1" applyFont="1" applyBorder="1" applyAlignment="1">
      <alignment horizontal="center"/>
    </xf>
    <xf numFmtId="1" fontId="10" fillId="0" borderId="80" xfId="1" applyNumberFormat="1" applyFont="1" applyBorder="1"/>
    <xf numFmtId="0" fontId="30" fillId="0" borderId="194" xfId="0" applyFont="1" applyFill="1" applyBorder="1" applyAlignment="1">
      <alignment wrapText="1"/>
    </xf>
    <xf numFmtId="0" fontId="18" fillId="0" borderId="0" xfId="0" applyNumberFormat="1" applyFont="1" applyBorder="1" applyAlignment="1" applyProtection="1">
      <alignment horizontal="right"/>
    </xf>
    <xf numFmtId="0" fontId="10" fillId="0" borderId="206" xfId="0" applyFont="1" applyFill="1" applyBorder="1" applyAlignment="1">
      <alignment wrapText="1"/>
    </xf>
    <xf numFmtId="0" fontId="10" fillId="0" borderId="107" xfId="0" applyFont="1" applyBorder="1"/>
    <xf numFmtId="0" fontId="10" fillId="0" borderId="108" xfId="0" applyFont="1" applyBorder="1"/>
    <xf numFmtId="0" fontId="10" fillId="0" borderId="109" xfId="0" applyFont="1" applyBorder="1"/>
    <xf numFmtId="0" fontId="10" fillId="0" borderId="207" xfId="0" applyFont="1" applyBorder="1"/>
    <xf numFmtId="168" fontId="30" fillId="0" borderId="174" xfId="1" applyNumberFormat="1" applyFont="1" applyBorder="1" applyAlignment="1">
      <alignment horizontal="center"/>
    </xf>
    <xf numFmtId="0" fontId="30" fillId="0" borderId="173" xfId="0" applyFont="1" applyBorder="1" applyAlignment="1">
      <alignment horizontal="center"/>
    </xf>
    <xf numFmtId="0" fontId="30" fillId="0" borderId="204" xfId="0" applyFont="1" applyBorder="1" applyAlignment="1">
      <alignment wrapText="1"/>
    </xf>
    <xf numFmtId="0" fontId="30" fillId="0" borderId="173" xfId="0" applyFont="1" applyBorder="1" applyAlignment="1"/>
    <xf numFmtId="0" fontId="30" fillId="0" borderId="205" xfId="0" applyFont="1" applyBorder="1" applyAlignment="1"/>
    <xf numFmtId="0" fontId="30" fillId="0" borderId="174" xfId="0" applyFont="1" applyBorder="1" applyAlignment="1">
      <alignment horizontal="center"/>
    </xf>
    <xf numFmtId="0" fontId="30" fillId="0" borderId="204" xfId="0" applyFont="1" applyBorder="1" applyAlignment="1"/>
    <xf numFmtId="0" fontId="30" fillId="0" borderId="204" xfId="0" applyFont="1" applyBorder="1" applyAlignment="1">
      <alignment horizontal="center"/>
    </xf>
    <xf numFmtId="0" fontId="14" fillId="0" borderId="209" xfId="0" applyFont="1" applyBorder="1" applyAlignment="1">
      <alignment horizontal="center" wrapText="1"/>
    </xf>
    <xf numFmtId="0" fontId="10" fillId="0" borderId="210" xfId="0" applyFont="1" applyFill="1" applyBorder="1" applyAlignment="1">
      <alignment horizontal="center"/>
    </xf>
    <xf numFmtId="0" fontId="14" fillId="0" borderId="211" xfId="0" applyFont="1" applyBorder="1" applyAlignment="1">
      <alignment horizontal="center" wrapText="1"/>
    </xf>
    <xf numFmtId="3" fontId="30" fillId="0" borderId="118" xfId="0" applyNumberFormat="1" applyFont="1" applyBorder="1"/>
    <xf numFmtId="3" fontId="30" fillId="0" borderId="77" xfId="0" applyNumberFormat="1" applyFont="1" applyBorder="1"/>
    <xf numFmtId="3" fontId="30" fillId="0" borderId="193" xfId="0" applyNumberFormat="1" applyFont="1" applyBorder="1"/>
    <xf numFmtId="3" fontId="30" fillId="0" borderId="189" xfId="0" applyNumberFormat="1" applyFont="1" applyBorder="1"/>
    <xf numFmtId="3" fontId="30" fillId="0" borderId="152" xfId="0" applyNumberFormat="1" applyFont="1" applyBorder="1"/>
    <xf numFmtId="3" fontId="30" fillId="0" borderId="149" xfId="0" applyNumberFormat="1" applyFont="1" applyBorder="1"/>
    <xf numFmtId="3" fontId="30" fillId="0" borderId="183" xfId="0" applyNumberFormat="1" applyFont="1" applyBorder="1"/>
    <xf numFmtId="3" fontId="30" fillId="0" borderId="150" xfId="0" applyNumberFormat="1" applyFont="1" applyBorder="1"/>
    <xf numFmtId="3" fontId="30" fillId="0" borderId="110" xfId="0" applyNumberFormat="1" applyFont="1" applyBorder="1"/>
    <xf numFmtId="0" fontId="14" fillId="0" borderId="212" xfId="0" applyFont="1" applyBorder="1" applyAlignment="1">
      <alignment horizontal="center" wrapText="1"/>
    </xf>
    <xf numFmtId="0" fontId="14" fillId="0" borderId="213" xfId="0" applyFont="1" applyBorder="1" applyAlignment="1">
      <alignment horizontal="center" wrapText="1"/>
    </xf>
    <xf numFmtId="0" fontId="14" fillId="0" borderId="214" xfId="0" applyFont="1" applyBorder="1" applyAlignment="1">
      <alignment horizontal="center" wrapText="1"/>
    </xf>
    <xf numFmtId="0" fontId="14" fillId="0" borderId="215" xfId="0" applyFont="1" applyBorder="1" applyAlignment="1">
      <alignment horizontal="center" wrapText="1"/>
    </xf>
    <xf numFmtId="0" fontId="14" fillId="0" borderId="216" xfId="0" applyFont="1" applyBorder="1" applyAlignment="1">
      <alignment horizontal="center" wrapText="1"/>
    </xf>
    <xf numFmtId="0" fontId="14" fillId="0" borderId="217" xfId="0" applyFont="1" applyBorder="1" applyAlignment="1">
      <alignment horizontal="center" wrapText="1"/>
    </xf>
    <xf numFmtId="0" fontId="14" fillId="0" borderId="197" xfId="0" applyFont="1" applyBorder="1" applyAlignment="1">
      <alignment horizontal="center" wrapText="1"/>
    </xf>
    <xf numFmtId="0" fontId="14" fillId="0" borderId="218" xfId="0" applyFont="1" applyBorder="1" applyAlignment="1">
      <alignment horizontal="center" wrapText="1"/>
    </xf>
    <xf numFmtId="169" fontId="10" fillId="0" borderId="0" xfId="1" applyFont="1"/>
    <xf numFmtId="0" fontId="10" fillId="0" borderId="157" xfId="0" applyFont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3" fontId="21" fillId="0" borderId="52" xfId="0" applyNumberFormat="1" applyFont="1" applyFill="1" applyBorder="1"/>
    <xf numFmtId="3" fontId="21" fillId="0" borderId="56" xfId="0" applyNumberFormat="1" applyFont="1" applyFill="1" applyBorder="1"/>
    <xf numFmtId="3" fontId="22" fillId="0" borderId="75" xfId="0" applyNumberFormat="1" applyFont="1" applyBorder="1"/>
    <xf numFmtId="3" fontId="21" fillId="0" borderId="76" xfId="0" applyNumberFormat="1" applyFont="1" applyBorder="1"/>
    <xf numFmtId="3" fontId="21" fillId="0" borderId="76" xfId="0" applyNumberFormat="1" applyFont="1" applyFill="1" applyBorder="1"/>
    <xf numFmtId="3" fontId="21" fillId="0" borderId="77" xfId="0" applyNumberFormat="1" applyFont="1" applyBorder="1"/>
    <xf numFmtId="165" fontId="21" fillId="0" borderId="56" xfId="2" applyNumberFormat="1" applyFont="1" applyBorder="1"/>
    <xf numFmtId="165" fontId="21" fillId="0" borderId="56" xfId="2" applyNumberFormat="1" applyFont="1" applyFill="1" applyBorder="1"/>
    <xf numFmtId="165" fontId="21" fillId="0" borderId="58" xfId="2" applyNumberFormat="1" applyFont="1" applyBorder="1"/>
    <xf numFmtId="167" fontId="11" fillId="0" borderId="75" xfId="0" applyNumberFormat="1" applyFont="1" applyBorder="1" applyAlignment="1">
      <alignment horizontal="center"/>
    </xf>
    <xf numFmtId="167" fontId="0" fillId="0" borderId="76" xfId="0" applyNumberFormat="1" applyFont="1" applyBorder="1" applyAlignment="1">
      <alignment horizontal="center"/>
    </xf>
    <xf numFmtId="167" fontId="0" fillId="0" borderId="77" xfId="0" applyNumberFormat="1" applyFont="1" applyBorder="1" applyAlignment="1">
      <alignment horizontal="center"/>
    </xf>
    <xf numFmtId="3" fontId="24" fillId="0" borderId="56" xfId="0" applyNumberFormat="1" applyFont="1" applyBorder="1"/>
    <xf numFmtId="3" fontId="24" fillId="0" borderId="76" xfId="0" applyNumberFormat="1" applyFont="1" applyBorder="1"/>
    <xf numFmtId="0" fontId="10" fillId="0" borderId="219" xfId="0" applyFont="1" applyFill="1" applyBorder="1" applyAlignment="1">
      <alignment wrapText="1"/>
    </xf>
    <xf numFmtId="167" fontId="10" fillId="0" borderId="52" xfId="0" applyNumberFormat="1" applyFont="1" applyBorder="1"/>
    <xf numFmtId="170" fontId="10" fillId="0" borderId="52" xfId="0" applyNumberFormat="1" applyFont="1" applyBorder="1"/>
    <xf numFmtId="3" fontId="14" fillId="0" borderId="54" xfId="0" applyNumberFormat="1" applyFont="1" applyBorder="1"/>
    <xf numFmtId="167" fontId="14" fillId="0" borderId="54" xfId="0" applyNumberFormat="1" applyFont="1" applyBorder="1"/>
    <xf numFmtId="170" fontId="14" fillId="0" borderId="54" xfId="0" applyNumberFormat="1" applyFont="1" applyBorder="1"/>
    <xf numFmtId="167" fontId="10" fillId="0" borderId="59" xfId="0" applyNumberFormat="1" applyFont="1" applyBorder="1"/>
    <xf numFmtId="170" fontId="10" fillId="0" borderId="59" xfId="0" applyNumberFormat="1" applyFont="1" applyBorder="1"/>
    <xf numFmtId="0" fontId="14" fillId="0" borderId="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3" fontId="10" fillId="0" borderId="0" xfId="0" applyNumberFormat="1" applyFont="1" applyBorder="1" applyAlignment="1">
      <alignment horizontal="center" vertical="center"/>
    </xf>
    <xf numFmtId="0" fontId="29" fillId="0" borderId="135" xfId="0" applyFont="1" applyBorder="1" applyAlignment="1">
      <alignment horizontal="center" wrapText="1"/>
    </xf>
    <xf numFmtId="0" fontId="30" fillId="0" borderId="89" xfId="0" applyFont="1" applyFill="1" applyBorder="1" applyAlignment="1">
      <alignment horizontal="center"/>
    </xf>
    <xf numFmtId="0" fontId="30" fillId="0" borderId="95" xfId="0" applyFont="1" applyFill="1" applyBorder="1" applyAlignment="1">
      <alignment wrapText="1"/>
    </xf>
    <xf numFmtId="1" fontId="30" fillId="0" borderId="219" xfId="5" applyNumberFormat="1" applyFont="1" applyBorder="1"/>
    <xf numFmtId="0" fontId="29" fillId="0" borderId="139" xfId="0" applyFont="1" applyBorder="1" applyAlignment="1">
      <alignment horizontal="center" wrapText="1"/>
    </xf>
    <xf numFmtId="0" fontId="30" fillId="0" borderId="65" xfId="0" applyFont="1" applyFill="1" applyBorder="1" applyAlignment="1">
      <alignment horizontal="center"/>
    </xf>
    <xf numFmtId="0" fontId="30" fillId="0" borderId="73" xfId="0" applyFont="1" applyFill="1" applyBorder="1" applyAlignment="1">
      <alignment wrapText="1"/>
    </xf>
    <xf numFmtId="1" fontId="30" fillId="0" borderId="65" xfId="0" applyNumberFormat="1" applyFont="1" applyBorder="1"/>
    <xf numFmtId="1" fontId="30" fillId="0" borderId="66" xfId="0" applyNumberFormat="1" applyFont="1" applyBorder="1"/>
    <xf numFmtId="1" fontId="30" fillId="0" borderId="73" xfId="5" applyNumberFormat="1" applyFont="1" applyBorder="1"/>
    <xf numFmtId="0" fontId="30" fillId="0" borderId="219" xfId="0" applyFont="1" applyFill="1" applyBorder="1" applyAlignment="1">
      <alignment wrapText="1"/>
    </xf>
    <xf numFmtId="0" fontId="14" fillId="0" borderId="56" xfId="0" applyFont="1" applyBorder="1" applyAlignment="1">
      <alignment horizontal="center"/>
    </xf>
    <xf numFmtId="3" fontId="10" fillId="0" borderId="57" xfId="0" applyNumberFormat="1" applyFont="1" applyBorder="1"/>
    <xf numFmtId="0" fontId="14" fillId="0" borderId="58" xfId="0" applyFont="1" applyBorder="1" applyAlignment="1">
      <alignment horizontal="center"/>
    </xf>
    <xf numFmtId="3" fontId="10" fillId="0" borderId="60" xfId="0" applyNumberFormat="1" applyFont="1" applyBorder="1"/>
    <xf numFmtId="3" fontId="10" fillId="0" borderId="145" xfId="0" applyNumberFormat="1" applyFont="1" applyBorder="1"/>
    <xf numFmtId="1" fontId="30" fillId="0" borderId="57" xfId="0" applyNumberFormat="1" applyFont="1" applyBorder="1"/>
    <xf numFmtId="1" fontId="30" fillId="0" borderId="140" xfId="0" applyNumberFormat="1" applyFont="1" applyBorder="1"/>
    <xf numFmtId="1" fontId="30" fillId="0" borderId="141" xfId="0" applyNumberFormat="1" applyFont="1" applyBorder="1"/>
    <xf numFmtId="1" fontId="30" fillId="0" borderId="142" xfId="0" applyNumberFormat="1" applyFont="1" applyBorder="1"/>
    <xf numFmtId="1" fontId="30" fillId="0" borderId="53" xfId="0" applyNumberFormat="1" applyFont="1" applyBorder="1"/>
    <xf numFmtId="1" fontId="30" fillId="0" borderId="56" xfId="0" applyNumberFormat="1" applyFont="1" applyBorder="1"/>
    <xf numFmtId="1" fontId="30" fillId="0" borderId="58" xfId="0" applyNumberFormat="1" applyFont="1" applyBorder="1"/>
    <xf numFmtId="3" fontId="29" fillId="0" borderId="54" xfId="0" applyNumberFormat="1" applyFont="1" applyBorder="1"/>
    <xf numFmtId="3" fontId="29" fillId="0" borderId="55" xfId="0" applyNumberFormat="1" applyFont="1" applyBorder="1"/>
    <xf numFmtId="3" fontId="29" fillId="0" borderId="53" xfId="0" applyNumberFormat="1" applyFont="1" applyBorder="1"/>
    <xf numFmtId="167" fontId="10" fillId="0" borderId="145" xfId="0" applyNumberFormat="1" applyFont="1" applyBorder="1"/>
    <xf numFmtId="170" fontId="10" fillId="0" borderId="145" xfId="0" applyNumberFormat="1" applyFont="1" applyBorder="1"/>
    <xf numFmtId="1" fontId="10" fillId="0" borderId="153" xfId="0" applyNumberFormat="1" applyFont="1" applyBorder="1"/>
    <xf numFmtId="1" fontId="30" fillId="0" borderId="0" xfId="0" applyNumberFormat="1" applyFont="1"/>
    <xf numFmtId="3" fontId="14" fillId="0" borderId="11" xfId="0" applyNumberFormat="1" applyFont="1" applyBorder="1"/>
    <xf numFmtId="3" fontId="14" fillId="0" borderId="12" xfId="0" applyNumberFormat="1" applyFont="1" applyBorder="1"/>
    <xf numFmtId="3" fontId="14" fillId="0" borderId="13" xfId="0" applyNumberFormat="1" applyFont="1" applyBorder="1"/>
    <xf numFmtId="167" fontId="10" fillId="0" borderId="152" xfId="0" applyNumberFormat="1" applyFont="1" applyBorder="1" applyAlignment="1">
      <alignment horizontal="center"/>
    </xf>
    <xf numFmtId="167" fontId="10" fillId="0" borderId="173" xfId="0" applyNumberFormat="1" applyFont="1" applyBorder="1" applyAlignment="1">
      <alignment horizontal="center"/>
    </xf>
    <xf numFmtId="0" fontId="14" fillId="0" borderId="145" xfId="0" applyFont="1" applyBorder="1"/>
    <xf numFmtId="3" fontId="10" fillId="0" borderId="10" xfId="0" applyNumberFormat="1" applyFont="1" applyFill="1" applyBorder="1"/>
    <xf numFmtId="3" fontId="10" fillId="0" borderId="16" xfId="0" applyNumberFormat="1" applyFont="1" applyFill="1" applyBorder="1"/>
    <xf numFmtId="3" fontId="10" fillId="0" borderId="22" xfId="0" applyNumberFormat="1" applyFont="1" applyBorder="1"/>
    <xf numFmtId="170" fontId="10" fillId="0" borderId="84" xfId="0" applyNumberFormat="1" applyFont="1" applyBorder="1"/>
    <xf numFmtId="170" fontId="10" fillId="0" borderId="51" xfId="0" applyNumberFormat="1" applyFont="1" applyFill="1" applyBorder="1"/>
    <xf numFmtId="3" fontId="29" fillId="0" borderId="12" xfId="0" applyNumberFormat="1" applyFont="1" applyBorder="1"/>
    <xf numFmtId="3" fontId="29" fillId="0" borderId="94" xfId="0" applyNumberFormat="1" applyFont="1" applyBorder="1"/>
    <xf numFmtId="3" fontId="42" fillId="0" borderId="53" xfId="0" applyNumberFormat="1" applyFont="1" applyBorder="1"/>
    <xf numFmtId="3" fontId="42" fillId="0" borderId="55" xfId="0" applyNumberFormat="1" applyFont="1" applyBorder="1"/>
    <xf numFmtId="3" fontId="42" fillId="0" borderId="56" xfId="0" applyNumberFormat="1" applyFont="1" applyBorder="1"/>
    <xf numFmtId="3" fontId="42" fillId="0" borderId="57" xfId="0" applyNumberFormat="1" applyFont="1" applyBorder="1"/>
    <xf numFmtId="3" fontId="42" fillId="0" borderId="58" xfId="0" applyNumberFormat="1" applyFont="1" applyBorder="1"/>
    <xf numFmtId="3" fontId="42" fillId="0" borderId="60" xfId="0" applyNumberFormat="1" applyFont="1" applyBorder="1"/>
    <xf numFmtId="0" fontId="23" fillId="0" borderId="64" xfId="0" applyFont="1" applyBorder="1"/>
    <xf numFmtId="3" fontId="22" fillId="0" borderId="152" xfId="0" applyNumberFormat="1" applyFont="1" applyBorder="1"/>
    <xf numFmtId="3" fontId="22" fillId="0" borderId="145" xfId="0" applyNumberFormat="1" applyFont="1" applyBorder="1"/>
    <xf numFmtId="3" fontId="22" fillId="0" borderId="189" xfId="0" applyNumberFormat="1" applyFont="1" applyBorder="1"/>
    <xf numFmtId="0" fontId="14" fillId="0" borderId="47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wrapText="1"/>
    </xf>
    <xf numFmtId="0" fontId="18" fillId="0" borderId="140" xfId="0" applyNumberFormat="1" applyFont="1" applyBorder="1" applyAlignment="1" applyProtection="1">
      <alignment horizontal="right"/>
    </xf>
    <xf numFmtId="0" fontId="18" fillId="0" borderId="141" xfId="0" applyNumberFormat="1" applyFont="1" applyBorder="1" applyAlignment="1" applyProtection="1">
      <alignment horizontal="right"/>
    </xf>
    <xf numFmtId="0" fontId="18" fillId="0" borderId="142" xfId="0" applyNumberFormat="1" applyFont="1" applyBorder="1" applyAlignment="1" applyProtection="1">
      <alignment horizontal="right"/>
    </xf>
    <xf numFmtId="0" fontId="44" fillId="0" borderId="55" xfId="0" applyFont="1" applyFill="1" applyBorder="1" applyAlignment="1" applyProtection="1">
      <alignment horizontal="center"/>
    </xf>
    <xf numFmtId="49" fontId="44" fillId="0" borderId="57" xfId="0" applyNumberFormat="1" applyFont="1" applyFill="1" applyBorder="1" applyAlignment="1" applyProtection="1">
      <alignment horizontal="center"/>
      <protection locked="0"/>
    </xf>
    <xf numFmtId="49" fontId="44" fillId="0" borderId="60" xfId="0" applyNumberFormat="1" applyFont="1" applyFill="1" applyBorder="1" applyAlignment="1" applyProtection="1">
      <alignment horizontal="center"/>
      <protection locked="0"/>
    </xf>
    <xf numFmtId="1" fontId="14" fillId="0" borderId="53" xfId="1" applyNumberFormat="1" applyFont="1" applyBorder="1"/>
    <xf numFmtId="1" fontId="14" fillId="0" borderId="54" xfId="1" applyNumberFormat="1" applyFont="1" applyBorder="1"/>
    <xf numFmtId="1" fontId="30" fillId="5" borderId="9" xfId="0" applyNumberFormat="1" applyFont="1" applyFill="1" applyBorder="1"/>
    <xf numFmtId="1" fontId="30" fillId="5" borderId="27" xfId="0" applyNumberFormat="1" applyFont="1" applyFill="1" applyBorder="1"/>
    <xf numFmtId="1" fontId="30" fillId="5" borderId="26" xfId="5" applyNumberFormat="1" applyFont="1" applyFill="1" applyBorder="1"/>
    <xf numFmtId="1" fontId="30" fillId="5" borderId="10" xfId="5" applyNumberFormat="1" applyFont="1" applyFill="1" applyBorder="1"/>
    <xf numFmtId="1" fontId="30" fillId="5" borderId="84" xfId="5" applyNumberFormat="1" applyFont="1" applyFill="1" applyBorder="1"/>
    <xf numFmtId="1" fontId="30" fillId="5" borderId="15" xfId="0" applyNumberFormat="1" applyFont="1" applyFill="1" applyBorder="1"/>
    <xf numFmtId="1" fontId="30" fillId="5" borderId="17" xfId="0" applyNumberFormat="1" applyFont="1" applyFill="1" applyBorder="1"/>
    <xf numFmtId="1" fontId="30" fillId="5" borderId="18" xfId="5" applyNumberFormat="1" applyFont="1" applyFill="1" applyBorder="1"/>
    <xf numFmtId="1" fontId="30" fillId="5" borderId="16" xfId="5" applyNumberFormat="1" applyFont="1" applyFill="1" applyBorder="1"/>
    <xf numFmtId="1" fontId="30" fillId="5" borderId="51" xfId="5" applyNumberFormat="1" applyFont="1" applyFill="1" applyBorder="1"/>
    <xf numFmtId="1" fontId="30" fillId="5" borderId="21" xfId="0" applyNumberFormat="1" applyFont="1" applyFill="1" applyBorder="1"/>
    <xf numFmtId="1" fontId="30" fillId="5" borderId="23" xfId="0" applyNumberFormat="1" applyFont="1" applyFill="1" applyBorder="1"/>
    <xf numFmtId="1" fontId="30" fillId="5" borderId="24" xfId="5" applyNumberFormat="1" applyFont="1" applyFill="1" applyBorder="1"/>
    <xf numFmtId="1" fontId="30" fillId="5" borderId="22" xfId="5" applyNumberFormat="1" applyFont="1" applyFill="1" applyBorder="1"/>
    <xf numFmtId="1" fontId="30" fillId="5" borderId="124" xfId="5" applyNumberFormat="1" applyFont="1" applyFill="1" applyBorder="1"/>
    <xf numFmtId="0" fontId="45" fillId="0" borderId="0" xfId="0" applyFont="1"/>
    <xf numFmtId="1" fontId="14" fillId="0" borderId="145" xfId="0" applyNumberFormat="1" applyFont="1" applyBorder="1"/>
    <xf numFmtId="0" fontId="26" fillId="0" borderId="78" xfId="0" applyFont="1" applyBorder="1" applyAlignment="1" applyProtection="1">
      <alignment horizontal="right"/>
    </xf>
    <xf numFmtId="0" fontId="26" fillId="0" borderId="79" xfId="0" applyFont="1" applyBorder="1" applyAlignment="1" applyProtection="1">
      <alignment horizontal="right"/>
    </xf>
    <xf numFmtId="0" fontId="26" fillId="0" borderId="151" xfId="0" applyFont="1" applyBorder="1" applyAlignment="1" applyProtection="1">
      <alignment horizontal="right"/>
    </xf>
    <xf numFmtId="1" fontId="22" fillId="0" borderId="55" xfId="0" applyNumberFormat="1" applyFont="1" applyBorder="1"/>
    <xf numFmtId="1" fontId="22" fillId="0" borderId="57" xfId="0" applyNumberFormat="1" applyFont="1" applyBorder="1"/>
    <xf numFmtId="1" fontId="22" fillId="0" borderId="109" xfId="0" applyNumberFormat="1" applyFont="1" applyBorder="1"/>
    <xf numFmtId="1" fontId="21" fillId="0" borderId="44" xfId="0" applyNumberFormat="1" applyFont="1" applyBorder="1"/>
    <xf numFmtId="1" fontId="21" fillId="0" borderId="28" xfId="0" applyNumberFormat="1" applyFont="1" applyBorder="1"/>
    <xf numFmtId="1" fontId="21" fillId="0" borderId="19" xfId="0" applyNumberFormat="1" applyFont="1" applyBorder="1"/>
    <xf numFmtId="1" fontId="21" fillId="0" borderId="30" xfId="0" applyNumberFormat="1" applyFont="1" applyBorder="1"/>
    <xf numFmtId="1" fontId="21" fillId="0" borderId="25" xfId="0" applyNumberFormat="1" applyFont="1" applyBorder="1"/>
    <xf numFmtId="1" fontId="21" fillId="0" borderId="39" xfId="0" applyNumberFormat="1" applyFont="1" applyBorder="1"/>
    <xf numFmtId="3" fontId="22" fillId="0" borderId="178" xfId="0" applyNumberFormat="1" applyFont="1" applyBorder="1"/>
    <xf numFmtId="3" fontId="22" fillId="0" borderId="61" xfId="0" applyNumberFormat="1" applyFont="1" applyBorder="1"/>
    <xf numFmtId="3" fontId="21" fillId="0" borderId="29" xfId="0" applyNumberFormat="1" applyFont="1" applyBorder="1"/>
    <xf numFmtId="3" fontId="21" fillId="0" borderId="88" xfId="0" applyNumberFormat="1" applyFont="1" applyBorder="1"/>
    <xf numFmtId="0" fontId="18" fillId="0" borderId="0" xfId="0" applyFont="1" applyBorder="1" applyAlignment="1" applyProtection="1">
      <alignment horizontal="right"/>
    </xf>
    <xf numFmtId="3" fontId="10" fillId="0" borderId="78" xfId="0" applyNumberFormat="1" applyFont="1" applyBorder="1" applyAlignment="1">
      <alignment horizontal="right"/>
    </xf>
    <xf numFmtId="3" fontId="10" fillId="0" borderId="191" xfId="0" applyNumberFormat="1" applyFont="1" applyBorder="1" applyAlignment="1">
      <alignment horizontal="right"/>
    </xf>
    <xf numFmtId="3" fontId="10" fillId="0" borderId="158" xfId="0" applyNumberFormat="1" applyFont="1" applyBorder="1" applyAlignment="1">
      <alignment horizontal="right"/>
    </xf>
    <xf numFmtId="169" fontId="18" fillId="0" borderId="0" xfId="1" applyFont="1" applyBorder="1" applyAlignment="1" applyProtection="1">
      <alignment horizontal="right"/>
    </xf>
    <xf numFmtId="0" fontId="31" fillId="0" borderId="120" xfId="0" applyFont="1" applyBorder="1" applyAlignment="1">
      <alignment wrapText="1"/>
    </xf>
    <xf numFmtId="0" fontId="31" fillId="0" borderId="172" xfId="0" applyFont="1" applyBorder="1" applyAlignment="1">
      <alignment wrapText="1"/>
    </xf>
    <xf numFmtId="0" fontId="31" fillId="0" borderId="121" xfId="0" applyFont="1" applyBorder="1" applyAlignment="1">
      <alignment wrapText="1"/>
    </xf>
    <xf numFmtId="3" fontId="21" fillId="0" borderId="173" xfId="0" applyNumberFormat="1" applyFont="1" applyBorder="1"/>
    <xf numFmtId="3" fontId="21" fillId="0" borderId="167" xfId="0" applyNumberFormat="1" applyFont="1" applyBorder="1"/>
    <xf numFmtId="0" fontId="10" fillId="0" borderId="189" xfId="0" applyFont="1" applyBorder="1"/>
    <xf numFmtId="167" fontId="10" fillId="0" borderId="56" xfId="0" applyNumberFormat="1" applyFont="1" applyBorder="1" applyAlignment="1">
      <alignment horizontal="center"/>
    </xf>
    <xf numFmtId="3" fontId="21" fillId="0" borderId="189" xfId="0" applyNumberFormat="1" applyFont="1" applyBorder="1"/>
    <xf numFmtId="165" fontId="21" fillId="0" borderId="152" xfId="2" applyNumberFormat="1" applyFont="1" applyBorder="1"/>
    <xf numFmtId="165" fontId="21" fillId="0" borderId="145" xfId="2" applyNumberFormat="1" applyFont="1" applyBorder="1"/>
    <xf numFmtId="165" fontId="21" fillId="0" borderId="145" xfId="2" applyNumberFormat="1" applyFont="1" applyFill="1" applyBorder="1"/>
    <xf numFmtId="165" fontId="21" fillId="0" borderId="153" xfId="2" applyNumberFormat="1" applyFont="1" applyFill="1" applyBorder="1"/>
    <xf numFmtId="0" fontId="0" fillId="0" borderId="152" xfId="0" applyFont="1" applyBorder="1" applyAlignment="1">
      <alignment horizontal="center"/>
    </xf>
    <xf numFmtId="0" fontId="0" fillId="0" borderId="189" xfId="0" applyFont="1" applyBorder="1"/>
    <xf numFmtId="167" fontId="0" fillId="0" borderId="189" xfId="0" applyNumberFormat="1" applyFont="1" applyBorder="1" applyAlignment="1">
      <alignment horizontal="center"/>
    </xf>
    <xf numFmtId="167" fontId="0" fillId="0" borderId="153" xfId="0" applyNumberFormat="1" applyFont="1" applyBorder="1" applyAlignment="1">
      <alignment horizontal="center"/>
    </xf>
    <xf numFmtId="167" fontId="0" fillId="0" borderId="55" xfId="0" applyNumberFormat="1" applyFont="1" applyBorder="1" applyAlignment="1">
      <alignment horizontal="center"/>
    </xf>
    <xf numFmtId="167" fontId="0" fillId="0" borderId="167" xfId="0" applyNumberFormat="1" applyFont="1" applyBorder="1" applyAlignment="1">
      <alignment horizontal="center"/>
    </xf>
    <xf numFmtId="3" fontId="24" fillId="0" borderId="152" xfId="0" applyNumberFormat="1" applyFont="1" applyBorder="1"/>
    <xf numFmtId="3" fontId="24" fillId="0" borderId="145" xfId="0" applyNumberFormat="1" applyFont="1" applyBorder="1"/>
    <xf numFmtId="3" fontId="24" fillId="0" borderId="189" xfId="0" applyNumberFormat="1" applyFont="1" applyBorder="1"/>
    <xf numFmtId="3" fontId="24" fillId="0" borderId="153" xfId="0" applyNumberFormat="1" applyFont="1" applyBorder="1"/>
    <xf numFmtId="0" fontId="18" fillId="0" borderId="0" xfId="0" applyFont="1" applyBorder="1"/>
    <xf numFmtId="0" fontId="11" fillId="0" borderId="81" xfId="0" applyFont="1" applyBorder="1" applyAlignment="1">
      <alignment horizontal="left" vertical="center"/>
    </xf>
    <xf numFmtId="0" fontId="0" fillId="0" borderId="82" xfId="0" applyFont="1" applyBorder="1"/>
    <xf numFmtId="0" fontId="11" fillId="0" borderId="220" xfId="0" applyFont="1" applyBorder="1" applyAlignment="1">
      <alignment horizontal="center" wrapText="1"/>
    </xf>
    <xf numFmtId="0" fontId="20" fillId="0" borderId="120" xfId="0" applyFont="1" applyBorder="1" applyAlignment="1">
      <alignment horizontal="center" wrapText="1"/>
    </xf>
    <xf numFmtId="0" fontId="23" fillId="0" borderId="0" xfId="0" applyFont="1" applyProtection="1">
      <protection locked="0"/>
    </xf>
    <xf numFmtId="0" fontId="11" fillId="0" borderId="139" xfId="0" applyFont="1" applyBorder="1" applyAlignment="1">
      <alignment horizontal="center" wrapText="1"/>
    </xf>
    <xf numFmtId="0" fontId="0" fillId="0" borderId="76" xfId="0" applyFont="1" applyFill="1" applyBorder="1" applyAlignment="1">
      <alignment wrapText="1"/>
    </xf>
    <xf numFmtId="0" fontId="0" fillId="0" borderId="77" xfId="0" applyFont="1" applyFill="1" applyBorder="1" applyAlignment="1">
      <alignment wrapText="1"/>
    </xf>
    <xf numFmtId="174" fontId="8" fillId="0" borderId="57" xfId="1" applyNumberFormat="1" applyFont="1" applyBorder="1"/>
    <xf numFmtId="1" fontId="11" fillId="0" borderId="140" xfId="0" applyNumberFormat="1" applyFont="1" applyBorder="1"/>
    <xf numFmtId="1" fontId="11" fillId="0" borderId="54" xfId="0" applyNumberFormat="1" applyFont="1" applyBorder="1"/>
    <xf numFmtId="1" fontId="11" fillId="0" borderId="55" xfId="0" applyNumberFormat="1" applyFont="1" applyBorder="1"/>
    <xf numFmtId="0" fontId="11" fillId="0" borderId="81" xfId="0" applyFont="1" applyBorder="1" applyAlignment="1"/>
    <xf numFmtId="0" fontId="11" fillId="0" borderId="144" xfId="0" applyFont="1" applyBorder="1" applyAlignment="1"/>
    <xf numFmtId="0" fontId="20" fillId="0" borderId="187" xfId="0" applyFont="1" applyBorder="1" applyAlignment="1">
      <alignment horizontal="center" wrapText="1"/>
    </xf>
    <xf numFmtId="168" fontId="10" fillId="0" borderId="0" xfId="0" applyNumberFormat="1" applyFont="1"/>
    <xf numFmtId="1" fontId="0" fillId="0" borderId="190" xfId="0" applyNumberFormat="1" applyFont="1" applyBorder="1"/>
    <xf numFmtId="1" fontId="0" fillId="0" borderId="145" xfId="0" applyNumberFormat="1" applyFont="1" applyBorder="1"/>
    <xf numFmtId="1" fontId="0" fillId="0" borderId="153" xfId="0" applyNumberFormat="1" applyFont="1" applyBorder="1"/>
    <xf numFmtId="169" fontId="0" fillId="0" borderId="60" xfId="1" applyFont="1" applyBorder="1"/>
    <xf numFmtId="174" fontId="11" fillId="0" borderId="53" xfId="1" applyNumberFormat="1" applyFont="1" applyBorder="1"/>
    <xf numFmtId="174" fontId="11" fillId="0" borderId="54" xfId="1" applyNumberFormat="1" applyFont="1" applyBorder="1"/>
    <xf numFmtId="174" fontId="11" fillId="0" borderId="55" xfId="1" applyNumberFormat="1" applyFont="1" applyBorder="1"/>
    <xf numFmtId="174" fontId="0" fillId="0" borderId="152" xfId="1" applyNumberFormat="1" applyFont="1" applyBorder="1"/>
    <xf numFmtId="174" fontId="0" fillId="0" borderId="145" xfId="1" applyNumberFormat="1" applyFont="1" applyBorder="1"/>
    <xf numFmtId="174" fontId="0" fillId="0" borderId="153" xfId="1" applyNumberFormat="1" applyFont="1" applyBorder="1"/>
    <xf numFmtId="174" fontId="10" fillId="0" borderId="56" xfId="1" applyNumberFormat="1" applyFont="1" applyBorder="1"/>
    <xf numFmtId="174" fontId="10" fillId="0" borderId="52" xfId="1" applyNumberFormat="1" applyFont="1" applyBorder="1"/>
    <xf numFmtId="174" fontId="10" fillId="0" borderId="57" xfId="1" applyNumberFormat="1" applyFont="1" applyBorder="1"/>
    <xf numFmtId="168" fontId="10" fillId="0" borderId="141" xfId="1" applyNumberFormat="1" applyFont="1" applyBorder="1"/>
    <xf numFmtId="174" fontId="10" fillId="0" borderId="58" xfId="1" applyNumberFormat="1" applyFont="1" applyBorder="1"/>
    <xf numFmtId="174" fontId="10" fillId="0" borderId="59" xfId="1" applyNumberFormat="1" applyFont="1" applyBorder="1"/>
    <xf numFmtId="174" fontId="10" fillId="0" borderId="60" xfId="1" applyNumberFormat="1" applyFont="1" applyBorder="1"/>
    <xf numFmtId="168" fontId="10" fillId="0" borderId="142" xfId="1" applyNumberFormat="1" applyFont="1" applyBorder="1"/>
    <xf numFmtId="0" fontId="11" fillId="0" borderId="53" xfId="0" applyFont="1" applyBorder="1" applyAlignment="1">
      <alignment horizontal="center"/>
    </xf>
    <xf numFmtId="0" fontId="11" fillId="0" borderId="75" xfId="0" applyFont="1" applyFill="1" applyBorder="1" applyAlignment="1">
      <alignment wrapText="1"/>
    </xf>
    <xf numFmtId="0" fontId="10" fillId="0" borderId="120" xfId="0" applyFont="1" applyBorder="1"/>
    <xf numFmtId="0" fontId="10" fillId="0" borderId="172" xfId="0" applyFont="1" applyBorder="1"/>
    <xf numFmtId="0" fontId="10" fillId="0" borderId="121" xfId="0" applyFont="1" applyBorder="1"/>
    <xf numFmtId="3" fontId="10" fillId="0" borderId="53" xfId="0" applyNumberFormat="1" applyFont="1" applyBorder="1"/>
    <xf numFmtId="3" fontId="10" fillId="0" borderId="54" xfId="0" applyNumberFormat="1" applyFont="1" applyBorder="1"/>
    <xf numFmtId="3" fontId="10" fillId="0" borderId="55" xfId="0" applyNumberFormat="1" applyFont="1" applyBorder="1"/>
    <xf numFmtId="167" fontId="14" fillId="0" borderId="152" xfId="0" applyNumberFormat="1" applyFont="1" applyBorder="1" applyAlignment="1">
      <alignment horizontal="center"/>
    </xf>
    <xf numFmtId="167" fontId="14" fillId="0" borderId="145" xfId="0" applyNumberFormat="1" applyFont="1" applyBorder="1" applyAlignment="1">
      <alignment horizontal="center"/>
    </xf>
    <xf numFmtId="167" fontId="14" fillId="0" borderId="153" xfId="0" applyNumberFormat="1" applyFont="1" applyBorder="1" applyAlignment="1">
      <alignment horizontal="center"/>
    </xf>
    <xf numFmtId="1" fontId="10" fillId="0" borderId="52" xfId="1" applyNumberFormat="1" applyFont="1" applyBorder="1"/>
    <xf numFmtId="1" fontId="10" fillId="0" borderId="56" xfId="1" applyNumberFormat="1" applyFont="1" applyBorder="1"/>
    <xf numFmtId="1" fontId="10" fillId="0" borderId="57" xfId="1" applyNumberFormat="1" applyFont="1" applyBorder="1"/>
    <xf numFmtId="1" fontId="10" fillId="0" borderId="58" xfId="1" applyNumberFormat="1" applyFont="1" applyBorder="1"/>
    <xf numFmtId="1" fontId="10" fillId="0" borderId="59" xfId="1" applyNumberFormat="1" applyFont="1" applyBorder="1"/>
    <xf numFmtId="1" fontId="10" fillId="0" borderId="60" xfId="1" applyNumberFormat="1" applyFont="1" applyBorder="1"/>
    <xf numFmtId="0" fontId="14" fillId="0" borderId="136" xfId="0" applyFont="1" applyBorder="1" applyAlignment="1">
      <alignment horizontal="center" wrapText="1"/>
    </xf>
    <xf numFmtId="0" fontId="14" fillId="0" borderId="182" xfId="0" applyFont="1" applyBorder="1" applyAlignment="1">
      <alignment horizontal="center" wrapText="1"/>
    </xf>
    <xf numFmtId="166" fontId="10" fillId="0" borderId="202" xfId="2" applyFont="1" applyBorder="1"/>
    <xf numFmtId="166" fontId="10" fillId="0" borderId="159" xfId="2" applyFont="1" applyBorder="1"/>
    <xf numFmtId="166" fontId="10" fillId="0" borderId="160" xfId="2" applyFont="1" applyBorder="1"/>
    <xf numFmtId="0" fontId="10" fillId="0" borderId="89" xfId="0" applyFont="1" applyFill="1" applyBorder="1" applyAlignment="1">
      <alignment horizontal="center"/>
    </xf>
    <xf numFmtId="166" fontId="10" fillId="0" borderId="147" xfId="2" applyFont="1" applyBorder="1"/>
    <xf numFmtId="0" fontId="14" fillId="0" borderId="65" xfId="0" applyFont="1" applyFill="1" applyBorder="1" applyAlignment="1">
      <alignment horizontal="center"/>
    </xf>
    <xf numFmtId="0" fontId="14" fillId="0" borderId="73" xfId="0" applyFont="1" applyFill="1" applyBorder="1" applyAlignment="1">
      <alignment wrapText="1"/>
    </xf>
    <xf numFmtId="166" fontId="14" fillId="0" borderId="146" xfId="2" applyFont="1" applyBorder="1"/>
    <xf numFmtId="1" fontId="14" fillId="0" borderId="78" xfId="1" applyNumberFormat="1" applyFont="1" applyBorder="1"/>
    <xf numFmtId="0" fontId="22" fillId="0" borderId="48" xfId="0" applyFont="1" applyBorder="1" applyAlignment="1">
      <alignment horizontal="center" wrapText="1"/>
    </xf>
    <xf numFmtId="0" fontId="22" fillId="0" borderId="139" xfId="0" applyFont="1" applyBorder="1" applyAlignment="1">
      <alignment horizontal="center" wrapText="1"/>
    </xf>
    <xf numFmtId="0" fontId="22" fillId="0" borderId="175" xfId="0" applyFont="1" applyBorder="1" applyAlignment="1">
      <alignment horizontal="center" wrapText="1"/>
    </xf>
    <xf numFmtId="0" fontId="22" fillId="0" borderId="195" xfId="0" applyFont="1" applyBorder="1" applyAlignment="1">
      <alignment horizontal="center" wrapText="1"/>
    </xf>
    <xf numFmtId="0" fontId="30" fillId="0" borderId="148" xfId="0" applyFont="1" applyBorder="1" applyAlignment="1"/>
    <xf numFmtId="0" fontId="30" fillId="0" borderId="183" xfId="0" applyFont="1" applyBorder="1" applyAlignment="1"/>
    <xf numFmtId="0" fontId="30" fillId="0" borderId="111" xfId="0" applyFont="1" applyBorder="1" applyAlignment="1"/>
    <xf numFmtId="3" fontId="42" fillId="0" borderId="140" xfId="0" applyNumberFormat="1" applyFont="1" applyBorder="1"/>
    <xf numFmtId="3" fontId="42" fillId="0" borderId="141" xfId="0" applyNumberFormat="1" applyFont="1" applyBorder="1"/>
    <xf numFmtId="3" fontId="42" fillId="0" borderId="142" xfId="0" applyNumberFormat="1" applyFont="1" applyBorder="1"/>
    <xf numFmtId="3" fontId="29" fillId="0" borderId="11" xfId="0" applyNumberFormat="1" applyFont="1" applyBorder="1"/>
    <xf numFmtId="3" fontId="42" fillId="0" borderId="52" xfId="0" applyNumberFormat="1" applyFont="1" applyBorder="1"/>
    <xf numFmtId="3" fontId="42" fillId="0" borderId="54" xfId="0" applyNumberFormat="1" applyFont="1" applyBorder="1"/>
    <xf numFmtId="3" fontId="42" fillId="0" borderId="59" xfId="0" applyNumberFormat="1" applyFont="1" applyBorder="1"/>
    <xf numFmtId="3" fontId="30" fillId="0" borderId="0" xfId="0" applyNumberFormat="1" applyFont="1" applyFill="1" applyBorder="1"/>
    <xf numFmtId="169" fontId="30" fillId="0" borderId="0" xfId="1" applyFont="1" applyFill="1" applyBorder="1"/>
    <xf numFmtId="3" fontId="30" fillId="0" borderId="173" xfId="0" applyNumberFormat="1" applyFont="1" applyBorder="1"/>
    <xf numFmtId="3" fontId="30" fillId="0" borderId="174" xfId="0" applyNumberFormat="1" applyFont="1" applyBorder="1"/>
    <xf numFmtId="3" fontId="30" fillId="0" borderId="167" xfId="0" applyNumberFormat="1" applyFont="1" applyBorder="1"/>
    <xf numFmtId="0" fontId="29" fillId="0" borderId="179" xfId="0" applyFont="1" applyFill="1" applyBorder="1" applyAlignment="1">
      <alignment wrapText="1"/>
    </xf>
    <xf numFmtId="3" fontId="29" fillId="0" borderId="110" xfId="0" applyNumberFormat="1" applyFont="1" applyBorder="1"/>
    <xf numFmtId="0" fontId="0" fillId="0" borderId="0" xfId="0" applyFill="1"/>
    <xf numFmtId="3" fontId="30" fillId="0" borderId="56" xfId="0" applyNumberFormat="1" applyFont="1" applyFill="1" applyBorder="1"/>
    <xf numFmtId="3" fontId="30" fillId="0" borderId="52" xfId="0" applyNumberFormat="1" applyFont="1" applyFill="1" applyBorder="1"/>
    <xf numFmtId="3" fontId="30" fillId="0" borderId="76" xfId="0" applyNumberFormat="1" applyFont="1" applyFill="1" applyBorder="1"/>
    <xf numFmtId="3" fontId="30" fillId="0" borderId="57" xfId="0" applyNumberFormat="1" applyFont="1" applyFill="1" applyBorder="1"/>
    <xf numFmtId="3" fontId="30" fillId="0" borderId="141" xfId="0" applyNumberFormat="1" applyFont="1" applyFill="1" applyBorder="1"/>
    <xf numFmtId="3" fontId="30" fillId="0" borderId="118" xfId="0" applyNumberFormat="1" applyFont="1" applyFill="1" applyBorder="1"/>
    <xf numFmtId="0" fontId="30" fillId="0" borderId="162" xfId="0" applyFont="1" applyFill="1" applyBorder="1" applyAlignment="1">
      <alignment wrapText="1"/>
    </xf>
    <xf numFmtId="0" fontId="14" fillId="0" borderId="179" xfId="0" applyFont="1" applyFill="1" applyBorder="1" applyAlignment="1">
      <alignment horizontal="center"/>
    </xf>
    <xf numFmtId="3" fontId="29" fillId="0" borderId="53" xfId="0" applyNumberFormat="1" applyFont="1" applyFill="1" applyBorder="1"/>
    <xf numFmtId="3" fontId="29" fillId="0" borderId="54" xfId="0" applyNumberFormat="1" applyFont="1" applyFill="1" applyBorder="1"/>
    <xf numFmtId="3" fontId="29" fillId="0" borderId="75" xfId="0" applyNumberFormat="1" applyFont="1" applyFill="1" applyBorder="1"/>
    <xf numFmtId="3" fontId="29" fillId="0" borderId="55" xfId="0" applyNumberFormat="1" applyFont="1" applyFill="1" applyBorder="1"/>
    <xf numFmtId="3" fontId="29" fillId="0" borderId="140" xfId="0" applyNumberFormat="1" applyFont="1" applyFill="1" applyBorder="1"/>
    <xf numFmtId="3" fontId="29" fillId="0" borderId="110" xfId="0" applyNumberFormat="1" applyFont="1" applyFill="1" applyBorder="1"/>
    <xf numFmtId="0" fontId="11" fillId="0" borderId="0" xfId="0" applyFont="1" applyFill="1"/>
    <xf numFmtId="3" fontId="0" fillId="0" borderId="0" xfId="0" applyNumberFormat="1" applyFont="1"/>
    <xf numFmtId="0" fontId="14" fillId="0" borderId="126" xfId="0" applyFont="1" applyFill="1" applyBorder="1" applyAlignment="1">
      <alignment horizontal="center" wrapText="1"/>
    </xf>
    <xf numFmtId="0" fontId="14" fillId="0" borderId="171" xfId="0" applyFont="1" applyFill="1" applyBorder="1" applyAlignment="1">
      <alignment horizontal="center" wrapText="1"/>
    </xf>
    <xf numFmtId="0" fontId="30" fillId="0" borderId="76" xfId="0" applyFont="1" applyBorder="1"/>
    <xf numFmtId="0" fontId="30" fillId="0" borderId="77" xfId="0" applyFont="1" applyBorder="1"/>
    <xf numFmtId="0" fontId="29" fillId="0" borderId="120" xfId="0" applyFont="1" applyBorder="1" applyAlignment="1">
      <alignment horizontal="center" wrapText="1"/>
    </xf>
    <xf numFmtId="0" fontId="29" fillId="0" borderId="223" xfId="0" applyFont="1" applyBorder="1" applyAlignment="1">
      <alignment horizontal="center" wrapText="1"/>
    </xf>
    <xf numFmtId="0" fontId="30" fillId="0" borderId="53" xfId="0" applyFont="1" applyBorder="1" applyAlignment="1">
      <alignment horizontal="center"/>
    </xf>
    <xf numFmtId="0" fontId="30" fillId="0" borderId="75" xfId="0" applyFont="1" applyBorder="1"/>
    <xf numFmtId="0" fontId="29" fillId="0" borderId="152" xfId="0" applyFont="1" applyBorder="1" applyAlignment="1">
      <alignment horizontal="center"/>
    </xf>
    <xf numFmtId="0" fontId="29" fillId="0" borderId="189" xfId="0" applyFont="1" applyBorder="1"/>
    <xf numFmtId="1" fontId="29" fillId="0" borderId="153" xfId="0" applyNumberFormat="1" applyFont="1" applyBorder="1" applyAlignment="1">
      <alignment horizontal="center"/>
    </xf>
    <xf numFmtId="0" fontId="14" fillId="0" borderId="202" xfId="0" applyFont="1" applyBorder="1"/>
    <xf numFmtId="3" fontId="10" fillId="0" borderId="107" xfId="0" applyNumberFormat="1" applyFont="1" applyBorder="1"/>
    <xf numFmtId="3" fontId="10" fillId="0" borderId="108" xfId="0" applyNumberFormat="1" applyFont="1" applyBorder="1"/>
    <xf numFmtId="3" fontId="10" fillId="0" borderId="109" xfId="0" applyNumberFormat="1" applyFont="1" applyBorder="1"/>
    <xf numFmtId="3" fontId="14" fillId="0" borderId="55" xfId="0" applyNumberFormat="1" applyFont="1" applyBorder="1"/>
    <xf numFmtId="1" fontId="10" fillId="0" borderId="174" xfId="0" applyNumberFormat="1" applyFont="1" applyBorder="1"/>
    <xf numFmtId="1" fontId="10" fillId="0" borderId="167" xfId="0" applyNumberFormat="1" applyFont="1" applyBorder="1"/>
    <xf numFmtId="0" fontId="14" fillId="0" borderId="169" xfId="0" applyFont="1" applyBorder="1" applyAlignment="1">
      <alignment horizontal="center" wrapText="1"/>
    </xf>
    <xf numFmtId="0" fontId="10" fillId="0" borderId="224" xfId="0" applyFont="1" applyFill="1" applyBorder="1" applyAlignment="1">
      <alignment horizontal="center"/>
    </xf>
    <xf numFmtId="0" fontId="10" fillId="0" borderId="225" xfId="0" applyFont="1" applyFill="1" applyBorder="1" applyAlignment="1">
      <alignment horizontal="center"/>
    </xf>
    <xf numFmtId="0" fontId="10" fillId="0" borderId="155" xfId="0" applyFont="1" applyFill="1" applyBorder="1" applyAlignment="1">
      <alignment horizontal="center"/>
    </xf>
    <xf numFmtId="0" fontId="10" fillId="0" borderId="226" xfId="0" applyFont="1" applyFill="1" applyBorder="1" applyAlignment="1">
      <alignment horizontal="center"/>
    </xf>
    <xf numFmtId="0" fontId="10" fillId="0" borderId="202" xfId="0" applyFont="1" applyBorder="1" applyAlignment="1">
      <alignment horizontal="center"/>
    </xf>
    <xf numFmtId="0" fontId="14" fillId="0" borderId="156" xfId="0" applyFont="1" applyBorder="1" applyAlignment="1">
      <alignment horizontal="center" wrapText="1"/>
    </xf>
    <xf numFmtId="1" fontId="14" fillId="0" borderId="140" xfId="0" applyNumberFormat="1" applyFont="1" applyBorder="1"/>
    <xf numFmtId="1" fontId="10" fillId="0" borderId="190" xfId="0" applyNumberFormat="1" applyFont="1" applyBorder="1"/>
    <xf numFmtId="1" fontId="10" fillId="0" borderId="142" xfId="0" applyNumberFormat="1" applyFont="1" applyBorder="1"/>
    <xf numFmtId="0" fontId="14" fillId="0" borderId="227" xfId="0" applyFont="1" applyBorder="1" applyAlignment="1">
      <alignment horizontal="center" wrapText="1"/>
    </xf>
    <xf numFmtId="0" fontId="10" fillId="0" borderId="228" xfId="0" applyFont="1" applyFill="1" applyBorder="1" applyAlignment="1">
      <alignment wrapText="1"/>
    </xf>
    <xf numFmtId="0" fontId="10" fillId="0" borderId="51" xfId="0" applyFont="1" applyFill="1" applyBorder="1" applyAlignment="1">
      <alignment wrapText="1"/>
    </xf>
    <xf numFmtId="0" fontId="10" fillId="0" borderId="208" xfId="0" applyFont="1" applyFill="1" applyBorder="1" applyAlignment="1">
      <alignment wrapText="1"/>
    </xf>
    <xf numFmtId="0" fontId="10" fillId="0" borderId="199" xfId="0" applyFont="1" applyFill="1" applyBorder="1" applyAlignment="1">
      <alignment wrapText="1"/>
    </xf>
    <xf numFmtId="0" fontId="14" fillId="0" borderId="78" xfId="0" applyFont="1" applyFill="1" applyBorder="1" applyAlignment="1">
      <alignment wrapText="1"/>
    </xf>
    <xf numFmtId="0" fontId="10" fillId="0" borderId="191" xfId="0" applyFont="1" applyFill="1" applyBorder="1" applyAlignment="1">
      <alignment wrapText="1"/>
    </xf>
    <xf numFmtId="0" fontId="10" fillId="0" borderId="80" xfId="0" applyFont="1" applyFill="1" applyBorder="1" applyAlignment="1">
      <alignment wrapText="1"/>
    </xf>
    <xf numFmtId="168" fontId="14" fillId="0" borderId="78" xfId="1" applyNumberFormat="1" applyFont="1" applyBorder="1"/>
    <xf numFmtId="1" fontId="42" fillId="5" borderId="9" xfId="0" applyNumberFormat="1" applyFont="1" applyFill="1" applyBorder="1"/>
    <xf numFmtId="1" fontId="42" fillId="5" borderId="27" xfId="0" applyNumberFormat="1" applyFont="1" applyFill="1" applyBorder="1"/>
    <xf numFmtId="1" fontId="42" fillId="5" borderId="26" xfId="5" applyNumberFormat="1" applyFont="1" applyFill="1" applyBorder="1"/>
    <xf numFmtId="1" fontId="42" fillId="5" borderId="10" xfId="5" applyNumberFormat="1" applyFont="1" applyFill="1" applyBorder="1"/>
    <xf numFmtId="0" fontId="22" fillId="0" borderId="117" xfId="0" applyFont="1" applyBorder="1" applyAlignment="1">
      <alignment horizontal="center" wrapText="1"/>
    </xf>
    <xf numFmtId="0" fontId="30" fillId="0" borderId="174" xfId="0" applyFont="1" applyBorder="1" applyAlignment="1">
      <alignment wrapText="1"/>
    </xf>
    <xf numFmtId="166" fontId="30" fillId="0" borderId="174" xfId="2" applyFont="1" applyBorder="1" applyAlignment="1">
      <alignment horizontal="center"/>
    </xf>
    <xf numFmtId="166" fontId="30" fillId="0" borderId="167" xfId="2" applyFont="1" applyBorder="1" applyAlignment="1">
      <alignment horizontal="center"/>
    </xf>
    <xf numFmtId="3" fontId="29" fillId="0" borderId="78" xfId="0" applyNumberFormat="1" applyFont="1" applyBorder="1" applyAlignment="1"/>
    <xf numFmtId="3" fontId="30" fillId="0" borderId="158" xfId="0" applyNumberFormat="1" applyFont="1" applyBorder="1" applyAlignment="1"/>
    <xf numFmtId="3" fontId="30" fillId="0" borderId="53" xfId="0" applyNumberFormat="1" applyFont="1" applyFill="1" applyBorder="1"/>
    <xf numFmtId="3" fontId="30" fillId="0" borderId="54" xfId="0" applyNumberFormat="1" applyFont="1" applyFill="1" applyBorder="1"/>
    <xf numFmtId="3" fontId="30" fillId="0" borderId="75" xfId="0" applyNumberFormat="1" applyFont="1" applyFill="1" applyBorder="1"/>
    <xf numFmtId="3" fontId="30" fillId="0" borderId="55" xfId="0" applyNumberFormat="1" applyFont="1" applyFill="1" applyBorder="1"/>
    <xf numFmtId="3" fontId="30" fillId="0" borderId="140" xfId="0" applyNumberFormat="1" applyFont="1" applyFill="1" applyBorder="1"/>
    <xf numFmtId="3" fontId="30" fillId="0" borderId="110" xfId="0" applyNumberFormat="1" applyFont="1" applyFill="1" applyBorder="1"/>
    <xf numFmtId="3" fontId="30" fillId="0" borderId="58" xfId="0" applyNumberFormat="1" applyFont="1" applyFill="1" applyBorder="1"/>
    <xf numFmtId="3" fontId="30" fillId="0" borderId="59" xfId="0" applyNumberFormat="1" applyFont="1" applyFill="1" applyBorder="1"/>
    <xf numFmtId="3" fontId="30" fillId="0" borderId="77" xfId="0" applyNumberFormat="1" applyFont="1" applyFill="1" applyBorder="1"/>
    <xf numFmtId="3" fontId="30" fillId="0" borderId="60" xfId="0" applyNumberFormat="1" applyFont="1" applyFill="1" applyBorder="1"/>
    <xf numFmtId="3" fontId="30" fillId="0" borderId="142" xfId="0" applyNumberFormat="1" applyFont="1" applyFill="1" applyBorder="1"/>
    <xf numFmtId="3" fontId="30" fillId="0" borderId="193" xfId="0" applyNumberFormat="1" applyFont="1" applyFill="1" applyBorder="1"/>
    <xf numFmtId="0" fontId="30" fillId="0" borderId="158" xfId="0" applyFont="1" applyFill="1" applyBorder="1" applyAlignment="1">
      <alignment wrapText="1"/>
    </xf>
    <xf numFmtId="3" fontId="30" fillId="0" borderId="203" xfId="0" applyNumberFormat="1" applyFont="1" applyBorder="1"/>
    <xf numFmtId="3" fontId="30" fillId="0" borderId="204" xfId="0" applyNumberFormat="1" applyFont="1" applyBorder="1"/>
    <xf numFmtId="3" fontId="30" fillId="0" borderId="111" xfId="0" applyNumberFormat="1" applyFont="1" applyBorder="1"/>
    <xf numFmtId="0" fontId="14" fillId="0" borderId="55" xfId="0" applyFont="1" applyFill="1" applyBorder="1" applyAlignment="1">
      <alignment wrapText="1"/>
    </xf>
    <xf numFmtId="0" fontId="10" fillId="0" borderId="57" xfId="0" applyFont="1" applyFill="1" applyBorder="1" applyAlignment="1">
      <alignment wrapText="1"/>
    </xf>
    <xf numFmtId="0" fontId="10" fillId="0" borderId="60" xfId="0" applyFont="1" applyFill="1" applyBorder="1" applyAlignment="1">
      <alignment wrapText="1"/>
    </xf>
    <xf numFmtId="168" fontId="14" fillId="0" borderId="53" xfId="1" applyNumberFormat="1" applyFont="1" applyBorder="1"/>
    <xf numFmtId="166" fontId="18" fillId="0" borderId="149" xfId="2" applyFont="1" applyBorder="1" applyAlignment="1" applyProtection="1">
      <alignment horizontal="right"/>
    </xf>
    <xf numFmtId="166" fontId="18" fillId="0" borderId="150" xfId="2" applyFont="1" applyBorder="1" applyAlignment="1" applyProtection="1">
      <alignment horizontal="right"/>
    </xf>
    <xf numFmtId="168" fontId="10" fillId="0" borderId="107" xfId="1" applyNumberFormat="1" applyFont="1" applyBorder="1"/>
    <xf numFmtId="168" fontId="10" fillId="0" borderId="108" xfId="1" applyNumberFormat="1" applyFont="1" applyBorder="1"/>
    <xf numFmtId="3" fontId="14" fillId="0" borderId="54" xfId="1" applyNumberFormat="1" applyFont="1" applyBorder="1"/>
    <xf numFmtId="0" fontId="14" fillId="0" borderId="184" xfId="0" applyFont="1" applyBorder="1" applyAlignment="1">
      <alignment horizontal="center" wrapText="1"/>
    </xf>
    <xf numFmtId="0" fontId="14" fillId="0" borderId="81" xfId="0" applyFont="1" applyBorder="1" applyAlignment="1">
      <alignment horizontal="center" wrapText="1"/>
    </xf>
    <xf numFmtId="0" fontId="14" fillId="0" borderId="82" xfId="0" applyFont="1" applyBorder="1" applyAlignment="1">
      <alignment horizontal="center" wrapText="1"/>
    </xf>
    <xf numFmtId="0" fontId="14" fillId="0" borderId="82" xfId="0" applyFont="1" applyBorder="1" applyAlignment="1">
      <alignment horizontal="center"/>
    </xf>
    <xf numFmtId="0" fontId="23" fillId="0" borderId="63" xfId="0" applyFont="1" applyBorder="1" applyAlignment="1">
      <alignment wrapText="1"/>
    </xf>
    <xf numFmtId="3" fontId="30" fillId="0" borderId="152" xfId="0" applyNumberFormat="1" applyFont="1" applyBorder="1" applyAlignment="1">
      <alignment vertical="center"/>
    </xf>
    <xf numFmtId="3" fontId="30" fillId="0" borderId="145" xfId="0" applyNumberFormat="1" applyFont="1" applyBorder="1" applyAlignment="1">
      <alignment vertical="center"/>
    </xf>
    <xf numFmtId="3" fontId="30" fillId="0" borderId="153" xfId="0" applyNumberFormat="1" applyFont="1" applyBorder="1" applyAlignment="1">
      <alignment vertical="center"/>
    </xf>
    <xf numFmtId="3" fontId="30" fillId="0" borderId="56" xfId="0" applyNumberFormat="1" applyFont="1" applyBorder="1" applyAlignment="1">
      <alignment vertical="center"/>
    </xf>
    <xf numFmtId="3" fontId="30" fillId="0" borderId="52" xfId="0" applyNumberFormat="1" applyFont="1" applyBorder="1" applyAlignment="1">
      <alignment vertical="center"/>
    </xf>
    <xf numFmtId="3" fontId="30" fillId="0" borderId="57" xfId="0" applyNumberFormat="1" applyFont="1" applyBorder="1" applyAlignment="1">
      <alignment vertical="center"/>
    </xf>
    <xf numFmtId="3" fontId="30" fillId="0" borderId="58" xfId="0" applyNumberFormat="1" applyFont="1" applyBorder="1" applyAlignment="1">
      <alignment vertical="center"/>
    </xf>
    <xf numFmtId="3" fontId="30" fillId="0" borderId="59" xfId="0" applyNumberFormat="1" applyFont="1" applyBorder="1" applyAlignment="1">
      <alignment vertical="center"/>
    </xf>
    <xf numFmtId="3" fontId="30" fillId="0" borderId="60" xfId="0" applyNumberFormat="1" applyFont="1" applyBorder="1" applyAlignment="1">
      <alignment vertical="center"/>
    </xf>
    <xf numFmtId="3" fontId="46" fillId="0" borderId="0" xfId="18" applyNumberFormat="1" applyFont="1" applyBorder="1"/>
    <xf numFmtId="3" fontId="46" fillId="0" borderId="205" xfId="18" applyNumberFormat="1" applyFont="1" applyBorder="1"/>
    <xf numFmtId="0" fontId="46" fillId="0" borderId="144" xfId="0" applyFont="1" applyBorder="1"/>
    <xf numFmtId="166" fontId="0" fillId="0" borderId="0" xfId="2" applyFont="1"/>
    <xf numFmtId="166" fontId="11" fillId="0" borderId="0" xfId="2" applyFont="1" applyFill="1"/>
    <xf numFmtId="166" fontId="0" fillId="0" borderId="0" xfId="2" applyFont="1" applyFill="1"/>
    <xf numFmtId="166" fontId="10" fillId="0" borderId="0" xfId="2" applyFont="1"/>
    <xf numFmtId="168" fontId="29" fillId="0" borderId="140" xfId="1" applyNumberFormat="1" applyFont="1" applyBorder="1" applyAlignment="1">
      <alignment horizontal="center"/>
    </xf>
    <xf numFmtId="168" fontId="30" fillId="0" borderId="190" xfId="1" applyNumberFormat="1" applyFont="1" applyBorder="1" applyAlignment="1">
      <alignment horizontal="center"/>
    </xf>
    <xf numFmtId="168" fontId="30" fillId="0" borderId="203" xfId="1" applyNumberFormat="1" applyFont="1" applyBorder="1" applyAlignment="1">
      <alignment horizontal="center"/>
    </xf>
    <xf numFmtId="174" fontId="8" fillId="0" borderId="152" xfId="1" applyNumberFormat="1" applyFont="1" applyBorder="1"/>
    <xf numFmtId="174" fontId="8" fillId="0" borderId="145" xfId="1" applyNumberFormat="1" applyFont="1" applyBorder="1"/>
    <xf numFmtId="174" fontId="8" fillId="0" borderId="153" xfId="1" applyNumberFormat="1" applyFont="1" applyBorder="1"/>
    <xf numFmtId="0" fontId="20" fillId="0" borderId="133" xfId="0" applyFont="1" applyBorder="1" applyAlignment="1">
      <alignment horizontal="center" wrapText="1"/>
    </xf>
    <xf numFmtId="0" fontId="20" fillId="0" borderId="166" xfId="0" applyFont="1" applyBorder="1" applyAlignment="1">
      <alignment horizontal="center" wrapText="1"/>
    </xf>
    <xf numFmtId="0" fontId="20" fillId="0" borderId="134" xfId="0" applyFont="1" applyBorder="1" applyAlignment="1">
      <alignment horizontal="center" wrapText="1"/>
    </xf>
    <xf numFmtId="1" fontId="10" fillId="0" borderId="152" xfId="1" applyNumberFormat="1" applyFont="1" applyBorder="1"/>
    <xf numFmtId="1" fontId="10" fillId="0" borderId="145" xfId="1" applyNumberFormat="1" applyFont="1" applyBorder="1"/>
    <xf numFmtId="1" fontId="10" fillId="0" borderId="153" xfId="1" applyNumberFormat="1" applyFont="1" applyBorder="1"/>
    <xf numFmtId="166" fontId="10" fillId="0" borderId="64" xfId="2" applyFont="1" applyBorder="1"/>
    <xf numFmtId="1" fontId="10" fillId="0" borderId="191" xfId="1" applyNumberFormat="1" applyFont="1" applyBorder="1"/>
    <xf numFmtId="0" fontId="30" fillId="0" borderId="189" xfId="0" applyFont="1" applyBorder="1"/>
    <xf numFmtId="1" fontId="30" fillId="0" borderId="153" xfId="0" applyNumberFormat="1" applyFont="1" applyBorder="1" applyAlignment="1">
      <alignment horizontal="center"/>
    </xf>
    <xf numFmtId="0" fontId="14" fillId="0" borderId="152" xfId="0" applyFont="1" applyBorder="1"/>
    <xf numFmtId="166" fontId="30" fillId="0" borderId="0" xfId="2" applyFont="1"/>
    <xf numFmtId="0" fontId="10" fillId="0" borderId="153" xfId="0" applyFont="1" applyFill="1" applyBorder="1" applyAlignment="1">
      <alignment wrapText="1"/>
    </xf>
    <xf numFmtId="166" fontId="18" fillId="0" borderId="183" xfId="2" applyFont="1" applyBorder="1" applyAlignment="1" applyProtection="1">
      <alignment horizontal="right"/>
    </xf>
    <xf numFmtId="0" fontId="18" fillId="0" borderId="0" xfId="44" applyFont="1" applyBorder="1" applyAlignment="1" applyProtection="1">
      <alignment horizontal="left" vertical="top"/>
    </xf>
    <xf numFmtId="0" fontId="14" fillId="0" borderId="133" xfId="0" applyFont="1" applyBorder="1" applyAlignment="1">
      <alignment horizontal="center"/>
    </xf>
    <xf numFmtId="0" fontId="14" fillId="0" borderId="166" xfId="0" applyFont="1" applyFill="1" applyBorder="1" applyAlignment="1">
      <alignment wrapText="1"/>
    </xf>
    <xf numFmtId="0" fontId="14" fillId="0" borderId="187" xfId="0" applyFont="1" applyBorder="1" applyAlignment="1">
      <alignment horizontal="center" wrapText="1"/>
    </xf>
    <xf numFmtId="168" fontId="14" fillId="0" borderId="174" xfId="1" applyNumberFormat="1" applyFont="1" applyBorder="1"/>
    <xf numFmtId="168" fontId="14" fillId="0" borderId="167" xfId="1" applyNumberFormat="1" applyFont="1" applyBorder="1"/>
    <xf numFmtId="168" fontId="14" fillId="0" borderId="204" xfId="1" applyNumberFormat="1" applyFont="1" applyBorder="1"/>
    <xf numFmtId="168" fontId="14" fillId="0" borderId="126" xfId="1" applyNumberFormat="1" applyFont="1" applyBorder="1" applyAlignment="1">
      <alignment horizontal="center" wrapText="1"/>
    </xf>
    <xf numFmtId="168" fontId="14" fillId="0" borderId="173" xfId="1" applyNumberFormat="1" applyFont="1" applyBorder="1"/>
    <xf numFmtId="3" fontId="10" fillId="0" borderId="183" xfId="0" applyNumberFormat="1" applyFont="1" applyBorder="1" applyAlignment="1">
      <alignment horizontal="right"/>
    </xf>
    <xf numFmtId="3" fontId="10" fillId="0" borderId="111" xfId="0" applyNumberFormat="1" applyFont="1" applyBorder="1" applyAlignment="1">
      <alignment horizontal="right"/>
    </xf>
    <xf numFmtId="0" fontId="10" fillId="0" borderId="133" xfId="0" applyFont="1" applyBorder="1" applyAlignment="1">
      <alignment horizontal="center"/>
    </xf>
    <xf numFmtId="0" fontId="14" fillId="0" borderId="166" xfId="0" applyFont="1" applyBorder="1"/>
    <xf numFmtId="3" fontId="14" fillId="0" borderId="166" xfId="0" applyNumberFormat="1" applyFont="1" applyBorder="1" applyAlignment="1">
      <alignment horizontal="right"/>
    </xf>
    <xf numFmtId="20" fontId="10" fillId="0" borderId="0" xfId="0" applyNumberFormat="1" applyFont="1"/>
    <xf numFmtId="0" fontId="47" fillId="0" borderId="63" xfId="0" applyFont="1" applyBorder="1" applyAlignment="1" applyProtection="1">
      <alignment horizontal="right"/>
    </xf>
    <xf numFmtId="0" fontId="14" fillId="0" borderId="187" xfId="0" applyFont="1" applyBorder="1" applyAlignment="1">
      <alignment horizontal="center" wrapText="1"/>
    </xf>
    <xf numFmtId="3" fontId="10" fillId="0" borderId="153" xfId="0" applyNumberFormat="1" applyFont="1" applyBorder="1"/>
    <xf numFmtId="1" fontId="10" fillId="0" borderId="0" xfId="0" applyNumberFormat="1" applyFont="1"/>
    <xf numFmtId="0" fontId="0" fillId="0" borderId="189" xfId="0" applyFont="1" applyFill="1" applyBorder="1" applyAlignment="1">
      <alignment wrapText="1"/>
    </xf>
    <xf numFmtId="168" fontId="0" fillId="0" borderId="78" xfId="1" applyNumberFormat="1" applyFont="1" applyBorder="1"/>
    <xf numFmtId="168" fontId="0" fillId="0" borderId="79" xfId="1" applyNumberFormat="1" applyFont="1" applyBorder="1"/>
    <xf numFmtId="168" fontId="0" fillId="0" borderId="151" xfId="1" applyNumberFormat="1" applyFont="1" applyBorder="1"/>
    <xf numFmtId="168" fontId="11" fillId="0" borderId="53" xfId="1" applyNumberFormat="1" applyFont="1" applyBorder="1"/>
    <xf numFmtId="168" fontId="8" fillId="0" borderId="152" xfId="1" applyNumberFormat="1" applyFont="1" applyBorder="1"/>
    <xf numFmtId="168" fontId="8" fillId="0" borderId="56" xfId="1" applyNumberFormat="1" applyFont="1" applyBorder="1"/>
    <xf numFmtId="168" fontId="0" fillId="0" borderId="58" xfId="1" applyNumberFormat="1" applyFont="1" applyBorder="1"/>
    <xf numFmtId="175" fontId="0" fillId="0" borderId="78" xfId="1" applyNumberFormat="1" applyFont="1" applyBorder="1"/>
    <xf numFmtId="175" fontId="0" fillId="0" borderId="79" xfId="1" applyNumberFormat="1" applyFont="1" applyBorder="1"/>
    <xf numFmtId="175" fontId="0" fillId="0" borderId="151" xfId="1" applyNumberFormat="1" applyFont="1" applyBorder="1"/>
    <xf numFmtId="0" fontId="22" fillId="0" borderId="65" xfId="0" applyFont="1" applyFill="1" applyBorder="1" applyAlignment="1">
      <alignment horizontal="center"/>
    </xf>
    <xf numFmtId="0" fontId="22" fillId="0" borderId="73" xfId="0" applyFont="1" applyFill="1" applyBorder="1" applyAlignment="1">
      <alignment wrapText="1"/>
    </xf>
    <xf numFmtId="3" fontId="29" fillId="0" borderId="152" xfId="0" applyNumberFormat="1" applyFont="1" applyBorder="1" applyAlignment="1">
      <alignment vertical="center"/>
    </xf>
    <xf numFmtId="3" fontId="29" fillId="0" borderId="145" xfId="0" applyNumberFormat="1" applyFont="1" applyBorder="1" applyAlignment="1">
      <alignment vertical="center"/>
    </xf>
    <xf numFmtId="3" fontId="29" fillId="0" borderId="153" xfId="0" applyNumberFormat="1" applyFont="1" applyBorder="1" applyAlignment="1">
      <alignment vertical="center"/>
    </xf>
    <xf numFmtId="168" fontId="30" fillId="0" borderId="53" xfId="1" applyNumberFormat="1" applyFont="1" applyBorder="1" applyAlignment="1">
      <alignment horizontal="center"/>
    </xf>
    <xf numFmtId="168" fontId="30" fillId="0" borderId="54" xfId="1" applyNumberFormat="1" applyFont="1" applyBorder="1" applyAlignment="1">
      <alignment horizontal="center"/>
    </xf>
    <xf numFmtId="168" fontId="30" fillId="0" borderId="55" xfId="1" applyNumberFormat="1" applyFont="1" applyBorder="1" applyAlignment="1">
      <alignment horizontal="center"/>
    </xf>
    <xf numFmtId="168" fontId="30" fillId="0" borderId="152" xfId="1" applyNumberFormat="1" applyFont="1" applyBorder="1" applyAlignment="1">
      <alignment horizontal="center"/>
    </xf>
    <xf numFmtId="168" fontId="30" fillId="0" borderId="153" xfId="1" applyNumberFormat="1" applyFont="1" applyBorder="1" applyAlignment="1">
      <alignment horizontal="center"/>
    </xf>
    <xf numFmtId="168" fontId="30" fillId="0" borderId="173" xfId="1" applyNumberFormat="1" applyFont="1" applyBorder="1" applyAlignment="1">
      <alignment horizontal="center"/>
    </xf>
    <xf numFmtId="168" fontId="30" fillId="0" borderId="167" xfId="1" applyNumberFormat="1" applyFont="1" applyBorder="1" applyAlignment="1">
      <alignment horizontal="center"/>
    </xf>
    <xf numFmtId="0" fontId="30" fillId="0" borderId="0" xfId="0" applyFont="1" applyAlignment="1">
      <alignment vertical="top"/>
    </xf>
    <xf numFmtId="1" fontId="30" fillId="0" borderId="152" xfId="0" applyNumberFormat="1" applyFont="1" applyBorder="1"/>
    <xf numFmtId="1" fontId="30" fillId="0" borderId="153" xfId="0" applyNumberFormat="1" applyFont="1" applyBorder="1"/>
    <xf numFmtId="1" fontId="30" fillId="0" borderId="190" xfId="0" applyNumberFormat="1" applyFont="1" applyBorder="1"/>
    <xf numFmtId="0" fontId="11" fillId="0" borderId="156" xfId="0" applyFont="1" applyBorder="1" applyAlignment="1">
      <alignment horizontal="center" wrapText="1"/>
    </xf>
    <xf numFmtId="0" fontId="11" fillId="0" borderId="175" xfId="0" applyFont="1" applyBorder="1" applyAlignment="1">
      <alignment horizontal="center" wrapText="1"/>
    </xf>
    <xf numFmtId="0" fontId="11" fillId="0" borderId="176" xfId="0" applyFont="1" applyBorder="1" applyAlignment="1">
      <alignment horizontal="center" wrapText="1"/>
    </xf>
    <xf numFmtId="0" fontId="11" fillId="0" borderId="195" xfId="0" applyFont="1" applyBorder="1" applyAlignment="1">
      <alignment horizontal="center" wrapText="1"/>
    </xf>
    <xf numFmtId="0" fontId="11" fillId="0" borderId="47" xfId="0" applyFont="1" applyBorder="1" applyAlignment="1">
      <alignment horizontal="center" wrapText="1"/>
    </xf>
    <xf numFmtId="3" fontId="30" fillId="0" borderId="125" xfId="0" applyNumberFormat="1" applyFont="1" applyBorder="1"/>
    <xf numFmtId="0" fontId="29" fillId="0" borderId="136" xfId="0" applyFont="1" applyFill="1" applyBorder="1" applyAlignment="1">
      <alignment wrapText="1"/>
    </xf>
    <xf numFmtId="0" fontId="30" fillId="0" borderId="52" xfId="0" applyFont="1" applyFill="1" applyBorder="1" applyAlignment="1">
      <alignment wrapText="1"/>
    </xf>
    <xf numFmtId="3" fontId="10" fillId="0" borderId="52" xfId="0" applyNumberFormat="1" applyFont="1" applyFill="1" applyBorder="1"/>
    <xf numFmtId="170" fontId="10" fillId="0" borderId="199" xfId="0" applyNumberFormat="1" applyFont="1" applyBorder="1"/>
    <xf numFmtId="3" fontId="14" fillId="0" borderId="54" xfId="0" applyNumberFormat="1" applyFont="1" applyFill="1" applyBorder="1"/>
    <xf numFmtId="3" fontId="10" fillId="0" borderId="59" xfId="0" applyNumberFormat="1" applyFont="1" applyFill="1" applyBorder="1"/>
    <xf numFmtId="1" fontId="10" fillId="0" borderId="53" xfId="1" applyNumberFormat="1" applyFont="1" applyBorder="1"/>
    <xf numFmtId="1" fontId="10" fillId="0" borderId="54" xfId="1" applyNumberFormat="1" applyFont="1" applyBorder="1"/>
    <xf numFmtId="1" fontId="10" fillId="0" borderId="55" xfId="1" applyNumberFormat="1" applyFont="1" applyBorder="1"/>
    <xf numFmtId="1" fontId="10" fillId="0" borderId="173" xfId="1" applyNumberFormat="1" applyFont="1" applyBorder="1"/>
    <xf numFmtId="1" fontId="10" fillId="0" borderId="174" xfId="1" applyNumberFormat="1" applyFont="1" applyBorder="1"/>
    <xf numFmtId="1" fontId="10" fillId="0" borderId="167" xfId="1" applyNumberFormat="1" applyFont="1" applyBorder="1"/>
    <xf numFmtId="1" fontId="30" fillId="0" borderId="167" xfId="0" applyNumberFormat="1" applyFont="1" applyBorder="1" applyAlignment="1">
      <alignment horizontal="center"/>
    </xf>
    <xf numFmtId="168" fontId="29" fillId="0" borderId="152" xfId="1" applyNumberFormat="1" applyFont="1" applyBorder="1" applyAlignment="1">
      <alignment horizontal="center"/>
    </xf>
    <xf numFmtId="168" fontId="30" fillId="0" borderId="56" xfId="1" applyNumberFormat="1" applyFont="1" applyBorder="1" applyAlignment="1">
      <alignment horizontal="center"/>
    </xf>
    <xf numFmtId="168" fontId="30" fillId="0" borderId="58" xfId="1" applyNumberFormat="1" applyFont="1" applyBorder="1" applyAlignment="1">
      <alignment horizontal="center"/>
    </xf>
    <xf numFmtId="0" fontId="10" fillId="0" borderId="75" xfId="0" applyFont="1" applyBorder="1"/>
    <xf numFmtId="0" fontId="14" fillId="0" borderId="189" xfId="0" applyFont="1" applyBorder="1"/>
    <xf numFmtId="166" fontId="10" fillId="0" borderId="78" xfId="2" applyFont="1" applyBorder="1"/>
    <xf numFmtId="166" fontId="10" fillId="0" borderId="191" xfId="2" applyFont="1" applyBorder="1"/>
    <xf numFmtId="166" fontId="10" fillId="0" borderId="158" xfId="2" applyFont="1" applyBorder="1"/>
    <xf numFmtId="166" fontId="14" fillId="0" borderId="191" xfId="2" applyFont="1" applyBorder="1"/>
    <xf numFmtId="166" fontId="10" fillId="0" borderId="79" xfId="2" applyFont="1" applyBorder="1"/>
    <xf numFmtId="166" fontId="10" fillId="0" borderId="80" xfId="2" applyFont="1" applyBorder="1"/>
    <xf numFmtId="166" fontId="14" fillId="0" borderId="0" xfId="2" applyFont="1" applyAlignment="1">
      <alignment horizontal="center" wrapText="1"/>
    </xf>
    <xf numFmtId="0" fontId="18" fillId="0" borderId="152" xfId="0" applyFont="1" applyBorder="1" applyProtection="1"/>
    <xf numFmtId="0" fontId="18" fillId="0" borderId="145" xfId="0" applyFont="1" applyBorder="1" applyProtection="1"/>
    <xf numFmtId="0" fontId="18" fillId="0" borderId="153" xfId="0" applyFont="1" applyBorder="1" applyProtection="1"/>
    <xf numFmtId="0" fontId="14" fillId="0" borderId="232" xfId="0" applyFont="1" applyBorder="1" applyAlignment="1">
      <alignment horizontal="center" wrapText="1"/>
    </xf>
    <xf numFmtId="0" fontId="14" fillId="0" borderId="144" xfId="0" applyFont="1" applyBorder="1" applyAlignment="1">
      <alignment horizontal="center"/>
    </xf>
    <xf numFmtId="0" fontId="11" fillId="0" borderId="136" xfId="0" applyFont="1" applyBorder="1" applyAlignment="1">
      <alignment horizontal="left" vertical="center"/>
    </xf>
    <xf numFmtId="0" fontId="10" fillId="0" borderId="137" xfId="0" applyFont="1" applyBorder="1" applyAlignment="1">
      <alignment horizontal="left" vertical="center"/>
    </xf>
    <xf numFmtId="0" fontId="10" fillId="0" borderId="132" xfId="0" applyFont="1" applyBorder="1" applyAlignment="1">
      <alignment horizontal="left" vertical="center"/>
    </xf>
    <xf numFmtId="0" fontId="14" fillId="0" borderId="231" xfId="0" applyFont="1" applyFill="1" applyBorder="1" applyAlignment="1">
      <alignment wrapText="1"/>
    </xf>
    <xf numFmtId="3" fontId="14" fillId="0" borderId="133" xfId="0" applyNumberFormat="1" applyFont="1" applyBorder="1"/>
    <xf numFmtId="3" fontId="14" fillId="0" borderId="166" xfId="0" applyNumberFormat="1" applyFont="1" applyBorder="1"/>
    <xf numFmtId="3" fontId="14" fillId="0" borderId="134" xfId="0" applyNumberFormat="1" applyFont="1" applyBorder="1"/>
    <xf numFmtId="1" fontId="0" fillId="0" borderId="0" xfId="0" applyNumberFormat="1"/>
    <xf numFmtId="3" fontId="21" fillId="0" borderId="14" xfId="0" applyNumberFormat="1" applyFont="1" applyBorder="1"/>
    <xf numFmtId="1" fontId="10" fillId="0" borderId="140" xfId="0" applyNumberFormat="1" applyFont="1" applyBorder="1"/>
    <xf numFmtId="1" fontId="10" fillId="0" borderId="203" xfId="0" applyNumberFormat="1" applyFont="1" applyBorder="1"/>
    <xf numFmtId="1" fontId="10" fillId="0" borderId="78" xfId="0" applyNumberFormat="1" applyFont="1" applyBorder="1"/>
    <xf numFmtId="1" fontId="10" fillId="0" borderId="191" xfId="0" applyNumberFormat="1" applyFont="1" applyBorder="1"/>
    <xf numFmtId="1" fontId="10" fillId="0" borderId="158" xfId="0" applyNumberFormat="1" applyFont="1" applyBorder="1"/>
    <xf numFmtId="14" fontId="10" fillId="0" borderId="0" xfId="0" applyNumberFormat="1" applyFont="1" applyAlignment="1">
      <alignment horizontal="center"/>
    </xf>
    <xf numFmtId="14" fontId="10" fillId="0" borderId="0" xfId="0" applyNumberFormat="1" applyFont="1"/>
    <xf numFmtId="0" fontId="22" fillId="0" borderId="120" xfId="0" applyFont="1" applyBorder="1" applyAlignment="1">
      <alignment horizontal="center" wrapText="1"/>
    </xf>
    <xf numFmtId="0" fontId="22" fillId="0" borderId="172" xfId="0" applyFont="1" applyBorder="1" applyAlignment="1">
      <alignment horizontal="center" wrapText="1"/>
    </xf>
    <xf numFmtId="0" fontId="22" fillId="0" borderId="121" xfId="0" applyFont="1" applyBorder="1" applyAlignment="1">
      <alignment horizontal="center" wrapText="1"/>
    </xf>
    <xf numFmtId="0" fontId="14" fillId="0" borderId="153" xfId="0" applyFont="1" applyBorder="1"/>
    <xf numFmtId="3" fontId="10" fillId="5" borderId="52" xfId="0" applyNumberFormat="1" applyFont="1" applyFill="1" applyBorder="1"/>
    <xf numFmtId="3" fontId="10" fillId="5" borderId="53" xfId="0" applyNumberFormat="1" applyFont="1" applyFill="1" applyBorder="1"/>
    <xf numFmtId="3" fontId="10" fillId="5" borderId="54" xfId="0" applyNumberFormat="1" applyFont="1" applyFill="1" applyBorder="1"/>
    <xf numFmtId="3" fontId="10" fillId="5" borderId="55" xfId="0" applyNumberFormat="1" applyFont="1" applyFill="1" applyBorder="1"/>
    <xf numFmtId="3" fontId="10" fillId="5" borderId="56" xfId="0" applyNumberFormat="1" applyFont="1" applyFill="1" applyBorder="1"/>
    <xf numFmtId="3" fontId="10" fillId="5" borderId="57" xfId="0" applyNumberFormat="1" applyFont="1" applyFill="1" applyBorder="1"/>
    <xf numFmtId="3" fontId="10" fillId="5" borderId="58" xfId="0" applyNumberFormat="1" applyFont="1" applyFill="1" applyBorder="1"/>
    <xf numFmtId="3" fontId="10" fillId="5" borderId="59" xfId="0" applyNumberFormat="1" applyFont="1" applyFill="1" applyBorder="1"/>
    <xf numFmtId="3" fontId="10" fillId="5" borderId="60" xfId="0" applyNumberFormat="1" applyFont="1" applyFill="1" applyBorder="1"/>
    <xf numFmtId="0" fontId="10" fillId="0" borderId="233" xfId="0" applyFont="1" applyBorder="1" applyAlignment="1">
      <alignment horizontal="center"/>
    </xf>
    <xf numFmtId="0" fontId="10" fillId="0" borderId="150" xfId="0" applyFont="1" applyBorder="1"/>
    <xf numFmtId="168" fontId="21" fillId="0" borderId="138" xfId="1" applyNumberFormat="1" applyFont="1" applyBorder="1"/>
    <xf numFmtId="168" fontId="21" fillId="0" borderId="118" xfId="1" applyNumberFormat="1" applyFont="1" applyBorder="1"/>
    <xf numFmtId="168" fontId="21" fillId="0" borderId="193" xfId="1" applyNumberFormat="1" applyFont="1" applyBorder="1"/>
    <xf numFmtId="168" fontId="14" fillId="0" borderId="148" xfId="1" applyNumberFormat="1" applyFont="1" applyBorder="1"/>
    <xf numFmtId="3" fontId="10" fillId="0" borderId="120" xfId="1" applyNumberFormat="1" applyFont="1" applyBorder="1"/>
    <xf numFmtId="3" fontId="10" fillId="0" borderId="107" xfId="1" applyNumberFormat="1" applyFont="1" applyBorder="1"/>
    <xf numFmtId="3" fontId="10" fillId="0" borderId="58" xfId="1" applyNumberFormat="1" applyFont="1" applyBorder="1"/>
    <xf numFmtId="3" fontId="14" fillId="0" borderId="53" xfId="1" applyNumberFormat="1" applyFont="1" applyBorder="1"/>
    <xf numFmtId="0" fontId="27" fillId="0" borderId="107" xfId="0" applyFont="1" applyBorder="1"/>
    <xf numFmtId="0" fontId="14" fillId="0" borderId="171" xfId="0" applyFont="1" applyBorder="1" applyAlignment="1">
      <alignment horizontal="center" wrapText="1"/>
    </xf>
    <xf numFmtId="168" fontId="10" fillId="0" borderId="75" xfId="1" applyNumberFormat="1" applyFont="1" applyBorder="1"/>
    <xf numFmtId="168" fontId="10" fillId="0" borderId="76" xfId="1" applyNumberFormat="1" applyFont="1" applyBorder="1"/>
    <xf numFmtId="168" fontId="14" fillId="0" borderId="79" xfId="1" applyNumberFormat="1" applyFont="1" applyBorder="1"/>
    <xf numFmtId="168" fontId="10" fillId="0" borderId="206" xfId="1" applyNumberFormat="1" applyFont="1" applyBorder="1"/>
    <xf numFmtId="168" fontId="14" fillId="0" borderId="80" xfId="1" applyNumberFormat="1" applyFont="1" applyBorder="1"/>
    <xf numFmtId="168" fontId="14" fillId="0" borderId="183" xfId="1" applyNumberFormat="1" applyFont="1" applyBorder="1"/>
    <xf numFmtId="168" fontId="10" fillId="0" borderId="183" xfId="1" applyNumberFormat="1" applyFont="1" applyBorder="1"/>
    <xf numFmtId="168" fontId="10" fillId="0" borderId="149" xfId="1" applyNumberFormat="1" applyFont="1" applyBorder="1"/>
    <xf numFmtId="168" fontId="10" fillId="0" borderId="150" xfId="1" applyNumberFormat="1" applyFont="1" applyBorder="1"/>
    <xf numFmtId="3" fontId="14" fillId="0" borderId="78" xfId="1" applyNumberFormat="1" applyFont="1" applyBorder="1"/>
    <xf numFmtId="3" fontId="14" fillId="0" borderId="79" xfId="1" applyNumberFormat="1" applyFont="1" applyBorder="1"/>
    <xf numFmtId="3" fontId="14" fillId="0" borderId="80" xfId="1" applyNumberFormat="1" applyFont="1" applyBorder="1"/>
    <xf numFmtId="3" fontId="14" fillId="0" borderId="183" xfId="1" applyNumberFormat="1" applyFont="1" applyBorder="1"/>
    <xf numFmtId="0" fontId="10" fillId="0" borderId="234" xfId="0" applyFont="1" applyFill="1" applyBorder="1" applyAlignment="1">
      <alignment wrapText="1"/>
    </xf>
    <xf numFmtId="168" fontId="10" fillId="0" borderId="234" xfId="1" applyNumberFormat="1" applyFont="1" applyBorder="1"/>
    <xf numFmtId="168" fontId="10" fillId="0" borderId="236" xfId="1" applyNumberFormat="1" applyFont="1" applyBorder="1"/>
    <xf numFmtId="168" fontId="10" fillId="0" borderId="221" xfId="1" applyNumberFormat="1" applyFont="1" applyBorder="1"/>
    <xf numFmtId="0" fontId="14" fillId="5" borderId="133" xfId="0" applyFont="1" applyFill="1" applyBorder="1" applyAlignment="1">
      <alignment horizontal="center"/>
    </xf>
    <xf numFmtId="0" fontId="27" fillId="0" borderId="207" xfId="0" applyFont="1" applyBorder="1"/>
    <xf numFmtId="0" fontId="10" fillId="0" borderId="223" xfId="0" applyFont="1" applyBorder="1"/>
    <xf numFmtId="0" fontId="10" fillId="0" borderId="206" xfId="0" applyFont="1" applyBorder="1"/>
    <xf numFmtId="0" fontId="21" fillId="0" borderId="84" xfId="2" applyNumberFormat="1" applyFont="1" applyBorder="1"/>
    <xf numFmtId="0" fontId="21" fillId="0" borderId="51" xfId="2" applyNumberFormat="1" applyFont="1" applyBorder="1"/>
    <xf numFmtId="0" fontId="21" fillId="0" borderId="124" xfId="2" applyNumberFormat="1" applyFont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/>
    </xf>
    <xf numFmtId="168" fontId="10" fillId="0" borderId="54" xfId="1" applyNumberFormat="1" applyFont="1" applyFill="1" applyBorder="1"/>
    <xf numFmtId="168" fontId="10" fillId="0" borderId="145" xfId="1" applyNumberFormat="1" applyFont="1" applyFill="1" applyBorder="1"/>
    <xf numFmtId="168" fontId="10" fillId="0" borderId="174" xfId="1" applyNumberFormat="1" applyFont="1" applyFill="1" applyBorder="1"/>
    <xf numFmtId="3" fontId="22" fillId="0" borderId="148" xfId="0" applyNumberFormat="1" applyFont="1" applyBorder="1"/>
    <xf numFmtId="3" fontId="22" fillId="0" borderId="183" xfId="0" applyNumberFormat="1" applyFont="1" applyBorder="1"/>
    <xf numFmtId="3" fontId="22" fillId="0" borderId="111" xfId="0" applyNumberFormat="1" applyFont="1" applyBorder="1"/>
    <xf numFmtId="0" fontId="18" fillId="0" borderId="55" xfId="0" applyFont="1" applyBorder="1" applyAlignment="1" applyProtection="1">
      <alignment horizontal="right"/>
    </xf>
    <xf numFmtId="0" fontId="18" fillId="0" borderId="57" xfId="0" applyFont="1" applyBorder="1" applyAlignment="1" applyProtection="1">
      <alignment horizontal="right"/>
    </xf>
    <xf numFmtId="0" fontId="18" fillId="0" borderId="60" xfId="0" applyFont="1" applyBorder="1" applyAlignment="1" applyProtection="1">
      <alignment horizontal="right"/>
    </xf>
    <xf numFmtId="0" fontId="14" fillId="0" borderId="121" xfId="0" applyFont="1" applyBorder="1" applyAlignment="1">
      <alignment horizontal="center" wrapText="1"/>
    </xf>
    <xf numFmtId="0" fontId="10" fillId="0" borderId="230" xfId="0" applyFont="1" applyFill="1" applyBorder="1" applyAlignment="1">
      <alignment horizontal="center"/>
    </xf>
    <xf numFmtId="0" fontId="14" fillId="0" borderId="137" xfId="0" applyFont="1" applyBorder="1" applyAlignment="1">
      <alignment horizontal="center" wrapText="1"/>
    </xf>
    <xf numFmtId="0" fontId="14" fillId="0" borderId="164" xfId="0" applyFont="1" applyBorder="1" applyAlignment="1">
      <alignment horizontal="center" wrapText="1"/>
    </xf>
    <xf numFmtId="0" fontId="10" fillId="0" borderId="230" xfId="0" applyFont="1" applyFill="1" applyBorder="1" applyAlignment="1">
      <alignment wrapText="1"/>
    </xf>
    <xf numFmtId="0" fontId="10" fillId="0" borderId="210" xfId="0" applyFont="1" applyFill="1" applyBorder="1" applyAlignment="1">
      <alignment wrapText="1"/>
    </xf>
    <xf numFmtId="0" fontId="10" fillId="0" borderId="181" xfId="0" applyFont="1" applyBorder="1"/>
    <xf numFmtId="0" fontId="10" fillId="0" borderId="157" xfId="0" applyFont="1" applyBorder="1"/>
    <xf numFmtId="0" fontId="39" fillId="0" borderId="0" xfId="0" applyFont="1" applyAlignment="1">
      <alignment horizontal="left" vertical="center"/>
    </xf>
    <xf numFmtId="0" fontId="29" fillId="0" borderId="116" xfId="0" applyFont="1" applyBorder="1" applyAlignment="1">
      <alignment horizontal="center" wrapText="1"/>
    </xf>
    <xf numFmtId="0" fontId="29" fillId="0" borderId="130" xfId="0" applyFont="1" applyBorder="1" applyAlignment="1">
      <alignment horizontal="center" wrapText="1"/>
    </xf>
    <xf numFmtId="0" fontId="29" fillId="0" borderId="176" xfId="0" applyFont="1" applyBorder="1" applyAlignment="1">
      <alignment horizontal="center" wrapText="1"/>
    </xf>
    <xf numFmtId="0" fontId="29" fillId="0" borderId="144" xfId="0" applyFont="1" applyBorder="1" applyAlignment="1">
      <alignment horizontal="center" wrapText="1"/>
    </xf>
    <xf numFmtId="3" fontId="30" fillId="0" borderId="53" xfId="1" applyNumberFormat="1" applyFont="1" applyFill="1" applyBorder="1"/>
    <xf numFmtId="3" fontId="30" fillId="0" borderId="54" xfId="1" applyNumberFormat="1" applyFont="1" applyFill="1" applyBorder="1"/>
    <xf numFmtId="3" fontId="30" fillId="0" borderId="237" xfId="1" applyNumberFormat="1" applyFont="1" applyFill="1" applyBorder="1"/>
    <xf numFmtId="168" fontId="29" fillId="0" borderId="84" xfId="1" applyNumberFormat="1" applyFont="1" applyBorder="1"/>
    <xf numFmtId="3" fontId="30" fillId="0" borderId="56" xfId="1" applyNumberFormat="1" applyFont="1" applyFill="1" applyBorder="1"/>
    <xf numFmtId="3" fontId="30" fillId="0" borderId="52" xfId="1" applyNumberFormat="1" applyFont="1" applyFill="1" applyBorder="1"/>
    <xf numFmtId="3" fontId="30" fillId="0" borderId="42" xfId="1" applyNumberFormat="1" applyFont="1" applyFill="1" applyBorder="1"/>
    <xf numFmtId="168" fontId="29" fillId="0" borderId="51" xfId="1" applyNumberFormat="1" applyFont="1" applyBorder="1"/>
    <xf numFmtId="168" fontId="39" fillId="0" borderId="51" xfId="1" applyNumberFormat="1" applyFont="1" applyBorder="1"/>
    <xf numFmtId="3" fontId="30" fillId="0" borderId="58" xfId="1" applyNumberFormat="1" applyFont="1" applyFill="1" applyBorder="1"/>
    <xf numFmtId="3" fontId="30" fillId="0" borderId="59" xfId="1" applyNumberFormat="1" applyFont="1" applyFill="1" applyBorder="1"/>
    <xf numFmtId="3" fontId="30" fillId="0" borderId="43" xfId="1" applyNumberFormat="1" applyFont="1" applyFill="1" applyBorder="1"/>
    <xf numFmtId="168" fontId="29" fillId="0" borderId="199" xfId="1" applyNumberFormat="1" applyFont="1" applyBorder="1"/>
    <xf numFmtId="0" fontId="29" fillId="0" borderId="65" xfId="0" applyFont="1" applyFill="1" applyBorder="1" applyAlignment="1">
      <alignment horizontal="center"/>
    </xf>
    <xf numFmtId="0" fontId="29" fillId="0" borderId="73" xfId="0" applyFont="1" applyFill="1" applyBorder="1" applyAlignment="1">
      <alignment wrapText="1"/>
    </xf>
    <xf numFmtId="3" fontId="29" fillId="0" borderId="65" xfId="1" applyNumberFormat="1" applyFont="1" applyFill="1" applyBorder="1"/>
    <xf numFmtId="3" fontId="29" fillId="0" borderId="84" xfId="1" applyNumberFormat="1" applyFont="1" applyFill="1" applyBorder="1"/>
    <xf numFmtId="0" fontId="30" fillId="0" borderId="175" xfId="0" applyFont="1" applyFill="1" applyBorder="1" applyAlignment="1">
      <alignment horizontal="center"/>
    </xf>
    <xf numFmtId="3" fontId="30" fillId="0" borderId="175" xfId="1" applyNumberFormat="1" applyFont="1" applyFill="1" applyBorder="1"/>
    <xf numFmtId="3" fontId="30" fillId="0" borderId="176" xfId="1" applyNumberFormat="1" applyFont="1" applyFill="1" applyBorder="1"/>
    <xf numFmtId="168" fontId="30" fillId="0" borderId="144" xfId="1" applyNumberFormat="1" applyFont="1" applyBorder="1"/>
    <xf numFmtId="166" fontId="18" fillId="0" borderId="78" xfId="2" applyFont="1" applyBorder="1" applyAlignment="1" applyProtection="1">
      <alignment horizontal="right"/>
    </xf>
    <xf numFmtId="166" fontId="18" fillId="0" borderId="191" xfId="2" applyFont="1" applyBorder="1" applyAlignment="1" applyProtection="1">
      <alignment horizontal="right"/>
    </xf>
    <xf numFmtId="166" fontId="18" fillId="0" borderId="158" xfId="2" applyFont="1" applyBorder="1" applyAlignment="1" applyProtection="1">
      <alignment horizontal="right"/>
    </xf>
    <xf numFmtId="166" fontId="26" fillId="0" borderId="148" xfId="2" applyNumberFormat="1" applyFont="1" applyBorder="1" applyAlignment="1" applyProtection="1">
      <alignment horizontal="right"/>
    </xf>
    <xf numFmtId="168" fontId="10" fillId="0" borderId="53" xfId="1" applyNumberFormat="1" applyFont="1" applyFill="1" applyBorder="1"/>
    <xf numFmtId="168" fontId="10" fillId="0" borderId="152" xfId="1" applyNumberFormat="1" applyFont="1" applyFill="1" applyBorder="1"/>
    <xf numFmtId="168" fontId="10" fillId="0" borderId="173" xfId="1" applyNumberFormat="1" applyFont="1" applyFill="1" applyBorder="1"/>
    <xf numFmtId="3" fontId="10" fillId="0" borderId="55" xfId="1" applyNumberFormat="1" applyFont="1" applyFill="1" applyBorder="1"/>
    <xf numFmtId="3" fontId="10" fillId="0" borderId="153" xfId="1" applyNumberFormat="1" applyFont="1" applyFill="1" applyBorder="1"/>
    <xf numFmtId="3" fontId="10" fillId="0" borderId="167" xfId="1" applyNumberFormat="1" applyFont="1" applyFill="1" applyBorder="1"/>
    <xf numFmtId="0" fontId="14" fillId="0" borderId="172" xfId="0" applyFont="1" applyFill="1" applyBorder="1" applyAlignment="1">
      <alignment wrapText="1"/>
    </xf>
    <xf numFmtId="166" fontId="14" fillId="0" borderId="172" xfId="2" applyFont="1" applyBorder="1"/>
    <xf numFmtId="166" fontId="14" fillId="0" borderId="121" xfId="2" applyFont="1" applyBorder="1"/>
    <xf numFmtId="0" fontId="10" fillId="0" borderId="52" xfId="0" applyFont="1" applyBorder="1" applyAlignment="1">
      <alignment horizontal="center"/>
    </xf>
    <xf numFmtId="166" fontId="10" fillId="0" borderId="52" xfId="2" applyFont="1" applyBorder="1"/>
    <xf numFmtId="167" fontId="14" fillId="0" borderId="78" xfId="1" applyNumberFormat="1" applyFont="1" applyBorder="1"/>
    <xf numFmtId="167" fontId="10" fillId="0" borderId="78" xfId="1" applyNumberFormat="1" applyFont="1" applyBorder="1"/>
    <xf numFmtId="167" fontId="10" fillId="0" borderId="79" xfId="1" applyNumberFormat="1" applyFont="1" applyBorder="1"/>
    <xf numFmtId="167" fontId="10" fillId="0" borderId="80" xfId="1" applyNumberFormat="1" applyFont="1" applyBorder="1"/>
    <xf numFmtId="0" fontId="14" fillId="0" borderId="175" xfId="0" applyFont="1" applyFill="1" applyBorder="1" applyAlignment="1">
      <alignment horizontal="center"/>
    </xf>
    <xf numFmtId="0" fontId="14" fillId="0" borderId="194" xfId="0" applyFont="1" applyFill="1" applyBorder="1" applyAlignment="1">
      <alignment wrapText="1"/>
    </xf>
    <xf numFmtId="1" fontId="14" fillId="0" borderId="133" xfId="1" applyNumberFormat="1" applyFont="1" applyBorder="1"/>
    <xf numFmtId="1" fontId="14" fillId="0" borderId="166" xfId="1" applyNumberFormat="1" applyFont="1" applyBorder="1"/>
    <xf numFmtId="1" fontId="14" fillId="0" borderId="134" xfId="1" applyNumberFormat="1" applyFont="1" applyBorder="1"/>
    <xf numFmtId="166" fontId="14" fillId="0" borderId="82" xfId="2" applyFont="1" applyBorder="1"/>
    <xf numFmtId="1" fontId="14" fillId="0" borderId="144" xfId="1" applyNumberFormat="1" applyFont="1" applyBorder="1"/>
    <xf numFmtId="166" fontId="10" fillId="0" borderId="205" xfId="2" applyFont="1" applyBorder="1"/>
    <xf numFmtId="1" fontId="10" fillId="0" borderId="158" xfId="1" applyNumberFormat="1" applyFont="1" applyBorder="1"/>
    <xf numFmtId="168" fontId="14" fillId="0" borderId="0" xfId="0" applyNumberFormat="1" applyFont="1"/>
    <xf numFmtId="3" fontId="23" fillId="0" borderId="52" xfId="0" applyNumberFormat="1" applyFont="1" applyFill="1" applyBorder="1"/>
    <xf numFmtId="1" fontId="22" fillId="0" borderId="52" xfId="7" applyNumberFormat="1" applyFont="1" applyBorder="1" applyAlignment="1">
      <alignment horizontal="right" vertical="center"/>
    </xf>
    <xf numFmtId="3" fontId="20" fillId="0" borderId="52" xfId="0" applyNumberFormat="1" applyFont="1" applyFill="1" applyBorder="1"/>
    <xf numFmtId="3" fontId="23" fillId="0" borderId="52" xfId="0" applyNumberFormat="1" applyFont="1" applyBorder="1" applyAlignment="1"/>
    <xf numFmtId="0" fontId="22" fillId="0" borderId="0" xfId="59" applyNumberFormat="1" applyFont="1" applyFill="1" applyBorder="1"/>
    <xf numFmtId="3" fontId="20" fillId="7" borderId="52" xfId="0" applyNumberFormat="1" applyFont="1" applyFill="1" applyBorder="1"/>
    <xf numFmtId="3" fontId="20" fillId="7" borderId="52" xfId="0" applyNumberFormat="1" applyFont="1" applyFill="1" applyBorder="1" applyAlignment="1"/>
    <xf numFmtId="3" fontId="21" fillId="0" borderId="54" xfId="0" applyNumberFormat="1" applyFont="1" applyBorder="1"/>
    <xf numFmtId="3" fontId="21" fillId="0" borderId="60" xfId="0" applyNumberFormat="1" applyFont="1" applyBorder="1"/>
    <xf numFmtId="165" fontId="21" fillId="0" borderId="53" xfId="2" applyNumberFormat="1" applyFont="1" applyFill="1" applyBorder="1"/>
    <xf numFmtId="165" fontId="21" fillId="0" borderId="54" xfId="2" applyNumberFormat="1" applyFont="1" applyFill="1" applyBorder="1"/>
    <xf numFmtId="165" fontId="21" fillId="0" borderId="55" xfId="2" applyNumberFormat="1" applyFont="1" applyFill="1" applyBorder="1"/>
    <xf numFmtId="3" fontId="33" fillId="0" borderId="0" xfId="0" applyNumberFormat="1" applyFont="1" applyFill="1" applyBorder="1"/>
    <xf numFmtId="3" fontId="0" fillId="0" borderId="202" xfId="1" applyNumberFormat="1" applyFont="1" applyBorder="1" applyAlignment="1">
      <alignment horizontal="right"/>
    </xf>
    <xf numFmtId="3" fontId="0" fillId="0" borderId="55" xfId="1" applyNumberFormat="1" applyFont="1" applyBorder="1" applyAlignment="1">
      <alignment horizontal="right"/>
    </xf>
    <xf numFmtId="3" fontId="0" fillId="0" borderId="181" xfId="1" applyNumberFormat="1" applyFont="1" applyBorder="1" applyAlignment="1">
      <alignment horizontal="right"/>
    </xf>
    <xf numFmtId="3" fontId="0" fillId="0" borderId="153" xfId="1" applyNumberFormat="1" applyFont="1" applyBorder="1" applyAlignment="1">
      <alignment horizontal="right"/>
    </xf>
    <xf numFmtId="3" fontId="0" fillId="0" borderId="116" xfId="1" applyNumberFormat="1" applyFont="1" applyFill="1" applyBorder="1" applyAlignment="1">
      <alignment horizontal="right"/>
    </xf>
    <xf numFmtId="3" fontId="0" fillId="0" borderId="221" xfId="1" applyNumberFormat="1" applyFont="1" applyBorder="1" applyAlignment="1">
      <alignment horizontal="right"/>
    </xf>
    <xf numFmtId="0" fontId="11" fillId="0" borderId="187" xfId="0" applyFont="1" applyBorder="1" applyAlignment="1">
      <alignment horizontal="center" wrapText="1"/>
    </xf>
    <xf numFmtId="0" fontId="30" fillId="0" borderId="204" xfId="0" applyFont="1" applyBorder="1"/>
    <xf numFmtId="0" fontId="30" fillId="0" borderId="87" xfId="0" applyFont="1" applyBorder="1" applyAlignment="1">
      <alignment horizontal="center"/>
    </xf>
    <xf numFmtId="0" fontId="30" fillId="0" borderId="11" xfId="0" applyFont="1" applyBorder="1"/>
    <xf numFmtId="0" fontId="30" fillId="0" borderId="12" xfId="0" applyFont="1" applyBorder="1"/>
    <xf numFmtId="0" fontId="30" fillId="0" borderId="20" xfId="0" applyFont="1" applyBorder="1"/>
    <xf numFmtId="0" fontId="30" fillId="0" borderId="13" xfId="0" applyFont="1" applyBorder="1"/>
    <xf numFmtId="0" fontId="29" fillId="0" borderId="67" xfId="0" applyFont="1" applyBorder="1" applyAlignment="1">
      <alignment horizontal="right"/>
    </xf>
    <xf numFmtId="1" fontId="30" fillId="0" borderId="238" xfId="5" applyNumberFormat="1" applyFont="1" applyBorder="1"/>
    <xf numFmtId="1" fontId="30" fillId="0" borderId="239" xfId="5" applyNumberFormat="1" applyFont="1" applyBorder="1"/>
    <xf numFmtId="1" fontId="30" fillId="0" borderId="240" xfId="5" applyNumberFormat="1" applyFont="1" applyBorder="1"/>
    <xf numFmtId="1" fontId="30" fillId="0" borderId="67" xfId="0" applyNumberFormat="1" applyFont="1" applyBorder="1"/>
    <xf numFmtId="1" fontId="30" fillId="0" borderId="69" xfId="0" applyNumberFormat="1" applyFont="1" applyBorder="1"/>
    <xf numFmtId="1" fontId="30" fillId="0" borderId="72" xfId="0" applyNumberFormat="1" applyFont="1" applyBorder="1"/>
    <xf numFmtId="0" fontId="22" fillId="0" borderId="179" xfId="0" applyFont="1" applyFill="1" applyBorder="1" applyAlignment="1">
      <alignment horizontal="center"/>
    </xf>
    <xf numFmtId="0" fontId="21" fillId="0" borderId="162" xfId="0" applyFont="1" applyFill="1" applyBorder="1" applyAlignment="1">
      <alignment horizontal="center"/>
    </xf>
    <xf numFmtId="0" fontId="22" fillId="0" borderId="179" xfId="0" applyFont="1" applyFill="1" applyBorder="1" applyAlignment="1">
      <alignment wrapText="1"/>
    </xf>
    <xf numFmtId="0" fontId="21" fillId="0" borderId="162" xfId="0" applyFont="1" applyFill="1" applyBorder="1" applyAlignment="1">
      <alignment wrapText="1"/>
    </xf>
    <xf numFmtId="0" fontId="21" fillId="0" borderId="180" xfId="0" applyFont="1" applyFill="1" applyBorder="1" applyAlignment="1">
      <alignment wrapText="1"/>
    </xf>
    <xf numFmtId="3" fontId="21" fillId="0" borderId="183" xfId="0" applyNumberFormat="1" applyFont="1" applyBorder="1"/>
    <xf numFmtId="3" fontId="21" fillId="0" borderId="111" xfId="0" applyNumberFormat="1" applyFont="1" applyBorder="1"/>
    <xf numFmtId="3" fontId="21" fillId="0" borderId="183" xfId="0" applyNumberFormat="1" applyFont="1" applyBorder="1" applyAlignment="1">
      <alignment horizontal="right"/>
    </xf>
    <xf numFmtId="3" fontId="21" fillId="0" borderId="111" xfId="0" applyNumberFormat="1" applyFont="1" applyBorder="1" applyAlignment="1">
      <alignment horizontal="right"/>
    </xf>
    <xf numFmtId="167" fontId="14" fillId="0" borderId="145" xfId="0" applyNumberFormat="1" applyFont="1" applyFill="1" applyBorder="1" applyAlignment="1">
      <alignment horizontal="center"/>
    </xf>
    <xf numFmtId="167" fontId="10" fillId="0" borderId="53" xfId="0" applyNumberFormat="1" applyFont="1" applyBorder="1" applyAlignment="1">
      <alignment horizontal="center"/>
    </xf>
    <xf numFmtId="167" fontId="10" fillId="0" borderId="54" xfId="0" applyNumberFormat="1" applyFont="1" applyBorder="1" applyAlignment="1">
      <alignment horizontal="center"/>
    </xf>
    <xf numFmtId="167" fontId="10" fillId="0" borderId="55" xfId="0" applyNumberFormat="1" applyFont="1" applyBorder="1" applyAlignment="1">
      <alignment horizontal="center"/>
    </xf>
    <xf numFmtId="0" fontId="11" fillId="0" borderId="122" xfId="0" applyFont="1" applyBorder="1" applyAlignment="1">
      <alignment horizontal="center" wrapText="1"/>
    </xf>
    <xf numFmtId="0" fontId="11" fillId="0" borderId="37" xfId="0" applyFont="1" applyBorder="1" applyAlignment="1">
      <alignment horizontal="center" wrapText="1"/>
    </xf>
    <xf numFmtId="0" fontId="11" fillId="0" borderId="123" xfId="0" applyFont="1" applyBorder="1" applyAlignment="1">
      <alignment horizontal="center" wrapText="1"/>
    </xf>
    <xf numFmtId="0" fontId="20" fillId="0" borderId="37" xfId="0" applyFont="1" applyBorder="1" applyAlignment="1">
      <alignment horizontal="center" wrapText="1"/>
    </xf>
    <xf numFmtId="0" fontId="20" fillId="0" borderId="35" xfId="0" applyFont="1" applyBorder="1" applyAlignment="1">
      <alignment horizontal="center" wrapText="1"/>
    </xf>
    <xf numFmtId="168" fontId="8" fillId="0" borderId="153" xfId="1" applyNumberFormat="1" applyFont="1" applyBorder="1"/>
    <xf numFmtId="175" fontId="8" fillId="0" borderId="153" xfId="1" applyNumberFormat="1" applyFont="1" applyBorder="1"/>
    <xf numFmtId="0" fontId="20" fillId="0" borderId="144" xfId="0" applyFont="1" applyBorder="1" applyAlignment="1">
      <alignment horizontal="center" wrapText="1"/>
    </xf>
    <xf numFmtId="174" fontId="0" fillId="0" borderId="0" xfId="0" applyNumberFormat="1" applyFont="1"/>
    <xf numFmtId="0" fontId="10" fillId="0" borderId="53" xfId="0" applyFont="1" applyBorder="1" applyAlignment="1">
      <alignment horizontal="left" vertical="center"/>
    </xf>
    <xf numFmtId="0" fontId="14" fillId="0" borderId="54" xfId="0" applyFont="1" applyBorder="1" applyAlignment="1">
      <alignment horizontal="center" wrapText="1"/>
    </xf>
    <xf numFmtId="0" fontId="14" fillId="0" borderId="107" xfId="0" applyFont="1" applyBorder="1" applyAlignment="1">
      <alignment horizontal="center" wrapText="1"/>
    </xf>
    <xf numFmtId="0" fontId="14" fillId="0" borderId="108" xfId="0" applyFont="1" applyBorder="1" applyAlignment="1">
      <alignment horizontal="center" wrapText="1"/>
    </xf>
    <xf numFmtId="0" fontId="14" fillId="0" borderId="109" xfId="0" applyFont="1" applyBorder="1" applyAlignment="1">
      <alignment wrapText="1"/>
    </xf>
    <xf numFmtId="0" fontId="10" fillId="0" borderId="53" xfId="0" applyFont="1" applyFill="1" applyBorder="1" applyAlignment="1">
      <alignment wrapText="1"/>
    </xf>
    <xf numFmtId="3" fontId="18" fillId="0" borderId="54" xfId="0" applyNumberFormat="1" applyFont="1" applyBorder="1" applyAlignment="1" applyProtection="1">
      <alignment horizontal="right"/>
    </xf>
    <xf numFmtId="0" fontId="18" fillId="0" borderId="54" xfId="0" applyFont="1" applyBorder="1" applyAlignment="1" applyProtection="1">
      <alignment horizontal="right"/>
    </xf>
    <xf numFmtId="3" fontId="26" fillId="0" borderId="55" xfId="0" applyNumberFormat="1" applyFont="1" applyBorder="1" applyAlignment="1" applyProtection="1">
      <alignment horizontal="right"/>
    </xf>
    <xf numFmtId="0" fontId="10" fillId="0" borderId="56" xfId="0" applyFont="1" applyFill="1" applyBorder="1" applyAlignment="1">
      <alignment wrapText="1"/>
    </xf>
    <xf numFmtId="3" fontId="18" fillId="0" borderId="52" xfId="0" applyNumberFormat="1" applyFont="1" applyBorder="1" applyAlignment="1" applyProtection="1">
      <alignment horizontal="right"/>
    </xf>
    <xf numFmtId="0" fontId="18" fillId="0" borderId="52" xfId="0" applyFont="1" applyBorder="1" applyAlignment="1" applyProtection="1">
      <alignment horizontal="right"/>
    </xf>
    <xf numFmtId="3" fontId="26" fillId="0" borderId="57" xfId="0" applyNumberFormat="1" applyFont="1" applyBorder="1" applyAlignment="1" applyProtection="1">
      <alignment horizontal="right"/>
    </xf>
    <xf numFmtId="0" fontId="10" fillId="0" borderId="58" xfId="0" applyFont="1" applyFill="1" applyBorder="1" applyAlignment="1">
      <alignment wrapText="1"/>
    </xf>
    <xf numFmtId="3" fontId="18" fillId="0" borderId="59" xfId="0" applyNumberFormat="1" applyFont="1" applyBorder="1" applyAlignment="1" applyProtection="1">
      <alignment horizontal="right"/>
    </xf>
    <xf numFmtId="0" fontId="18" fillId="0" borderId="59" xfId="0" applyFont="1" applyBorder="1" applyAlignment="1" applyProtection="1">
      <alignment horizontal="right"/>
    </xf>
    <xf numFmtId="3" fontId="26" fillId="0" borderId="60" xfId="0" applyNumberFormat="1" applyFont="1" applyBorder="1" applyAlignment="1" applyProtection="1">
      <alignment horizontal="right"/>
    </xf>
    <xf numFmtId="0" fontId="14" fillId="0" borderId="173" xfId="0" applyFont="1" applyFill="1" applyBorder="1" applyAlignment="1">
      <alignment wrapText="1"/>
    </xf>
    <xf numFmtId="1" fontId="11" fillId="0" borderId="174" xfId="0" applyNumberFormat="1" applyFont="1" applyBorder="1"/>
    <xf numFmtId="1" fontId="11" fillId="0" borderId="167" xfId="0" applyNumberFormat="1" applyFont="1" applyBorder="1"/>
    <xf numFmtId="0" fontId="14" fillId="0" borderId="233" xfId="0" applyFont="1" applyBorder="1" applyAlignment="1">
      <alignment horizontal="center"/>
    </xf>
    <xf numFmtId="0" fontId="10" fillId="0" borderId="241" xfId="0" applyFont="1" applyFill="1" applyBorder="1" applyAlignment="1">
      <alignment wrapText="1"/>
    </xf>
    <xf numFmtId="3" fontId="10" fillId="0" borderId="233" xfId="0" applyNumberFormat="1" applyFont="1" applyBorder="1"/>
    <xf numFmtId="3" fontId="10" fillId="0" borderId="234" xfId="0" applyNumberFormat="1" applyFont="1" applyBorder="1"/>
    <xf numFmtId="3" fontId="10" fillId="0" borderId="221" xfId="0" applyNumberFormat="1" applyFont="1" applyBorder="1"/>
    <xf numFmtId="0" fontId="26" fillId="0" borderId="0" xfId="0" applyFont="1" applyBorder="1" applyAlignment="1" applyProtection="1">
      <alignment horizontal="right"/>
    </xf>
    <xf numFmtId="0" fontId="10" fillId="0" borderId="233" xfId="0" applyFont="1" applyBorder="1"/>
    <xf numFmtId="0" fontId="10" fillId="0" borderId="234" xfId="0" applyFont="1" applyBorder="1"/>
    <xf numFmtId="0" fontId="10" fillId="0" borderId="221" xfId="0" applyFont="1" applyBorder="1"/>
    <xf numFmtId="0" fontId="10" fillId="0" borderId="125" xfId="0" applyFont="1" applyBorder="1"/>
    <xf numFmtId="3" fontId="10" fillId="0" borderId="233" xfId="1" applyNumberFormat="1" applyFont="1" applyBorder="1"/>
    <xf numFmtId="168" fontId="10" fillId="0" borderId="125" xfId="1" applyNumberFormat="1" applyFont="1" applyBorder="1"/>
    <xf numFmtId="0" fontId="10" fillId="0" borderId="183" xfId="0" applyFont="1" applyBorder="1"/>
    <xf numFmtId="0" fontId="22" fillId="0" borderId="87" xfId="0" applyFont="1" applyFill="1" applyBorder="1" applyAlignment="1">
      <alignment horizontal="center"/>
    </xf>
    <xf numFmtId="0" fontId="22" fillId="0" borderId="230" xfId="0" applyFont="1" applyFill="1" applyBorder="1" applyAlignment="1">
      <alignment horizontal="center"/>
    </xf>
    <xf numFmtId="0" fontId="21" fillId="0" borderId="230" xfId="0" applyFont="1" applyFill="1" applyBorder="1" applyAlignment="1">
      <alignment wrapText="1"/>
    </xf>
    <xf numFmtId="0" fontId="14" fillId="0" borderId="0" xfId="0" applyFont="1" applyBorder="1"/>
    <xf numFmtId="3" fontId="14" fillId="0" borderId="0" xfId="0" applyNumberFormat="1" applyFont="1" applyBorder="1" applyAlignment="1">
      <alignment horizontal="right"/>
    </xf>
    <xf numFmtId="0" fontId="30" fillId="0" borderId="140" xfId="0" applyFont="1" applyBorder="1" applyAlignment="1"/>
    <xf numFmtId="0" fontId="30" fillId="0" borderId="230" xfId="0" applyFont="1" applyFill="1" applyBorder="1" applyAlignment="1">
      <alignment wrapText="1"/>
    </xf>
    <xf numFmtId="3" fontId="30" fillId="0" borderId="152" xfId="0" applyNumberFormat="1" applyFont="1" applyFill="1" applyBorder="1"/>
    <xf numFmtId="3" fontId="30" fillId="0" borderId="145" xfId="0" applyNumberFormat="1" applyFont="1" applyFill="1" applyBorder="1"/>
    <xf numFmtId="3" fontId="30" fillId="0" borderId="189" xfId="0" applyNumberFormat="1" applyFont="1" applyFill="1" applyBorder="1"/>
    <xf numFmtId="3" fontId="30" fillId="0" borderId="153" xfId="0" applyNumberFormat="1" applyFont="1" applyFill="1" applyBorder="1"/>
    <xf numFmtId="3" fontId="30" fillId="0" borderId="190" xfId="0" applyNumberFormat="1" applyFont="1" applyFill="1" applyBorder="1"/>
    <xf numFmtId="3" fontId="30" fillId="0" borderId="138" xfId="0" applyNumberFormat="1" applyFont="1" applyFill="1" applyBorder="1"/>
    <xf numFmtId="166" fontId="8" fillId="0" borderId="0" xfId="2" applyFont="1" applyFill="1"/>
    <xf numFmtId="3" fontId="10" fillId="0" borderId="145" xfId="0" applyNumberFormat="1" applyFont="1" applyFill="1" applyBorder="1"/>
    <xf numFmtId="3" fontId="10" fillId="0" borderId="0" xfId="0" applyNumberFormat="1" applyFont="1" applyBorder="1" applyAlignment="1">
      <alignment horizontal="center"/>
    </xf>
    <xf numFmtId="3" fontId="10" fillId="0" borderId="65" xfId="0" applyNumberFormat="1" applyFont="1" applyFill="1" applyBorder="1"/>
    <xf numFmtId="3" fontId="10" fillId="0" borderId="66" xfId="0" applyNumberFormat="1" applyFont="1" applyFill="1" applyBorder="1"/>
    <xf numFmtId="3" fontId="10" fillId="0" borderId="67" xfId="0" applyNumberFormat="1" applyFont="1" applyFill="1" applyBorder="1"/>
    <xf numFmtId="3" fontId="10" fillId="0" borderId="68" xfId="0" applyNumberFormat="1" applyFont="1" applyFill="1" applyBorder="1"/>
    <xf numFmtId="3" fontId="10" fillId="0" borderId="69" xfId="0" applyNumberFormat="1" applyFont="1" applyFill="1" applyBorder="1"/>
    <xf numFmtId="3" fontId="10" fillId="0" borderId="70" xfId="0" applyNumberFormat="1" applyFont="1" applyBorder="1"/>
    <xf numFmtId="3" fontId="10" fillId="0" borderId="71" xfId="0" applyNumberFormat="1" applyFont="1" applyBorder="1"/>
    <xf numFmtId="3" fontId="10" fillId="0" borderId="72" xfId="0" applyNumberFormat="1" applyFont="1" applyBorder="1"/>
    <xf numFmtId="3" fontId="10" fillId="0" borderId="152" xfId="1" applyNumberFormat="1" applyFont="1" applyBorder="1"/>
    <xf numFmtId="3" fontId="10" fillId="0" borderId="145" xfId="1" applyNumberFormat="1" applyFont="1" applyBorder="1"/>
    <xf numFmtId="3" fontId="10" fillId="0" borderId="183" xfId="1" applyNumberFormat="1" applyFont="1" applyBorder="1"/>
    <xf numFmtId="166" fontId="18" fillId="0" borderId="183" xfId="2" applyNumberFormat="1" applyFont="1" applyBorder="1" applyAlignment="1" applyProtection="1">
      <alignment horizontal="right"/>
    </xf>
    <xf numFmtId="3" fontId="18" fillId="0" borderId="53" xfId="0" applyNumberFormat="1" applyFont="1" applyBorder="1" applyAlignment="1" applyProtection="1">
      <alignment horizontal="right"/>
    </xf>
    <xf numFmtId="3" fontId="18" fillId="0" borderId="56" xfId="0" applyNumberFormat="1" applyFont="1" applyBorder="1" applyAlignment="1" applyProtection="1">
      <alignment horizontal="right"/>
    </xf>
    <xf numFmtId="3" fontId="18" fillId="0" borderId="58" xfId="0" applyNumberFormat="1" applyFont="1" applyBorder="1" applyAlignment="1" applyProtection="1">
      <alignment horizontal="right"/>
    </xf>
    <xf numFmtId="3" fontId="42" fillId="0" borderId="57" xfId="0" applyNumberFormat="1" applyFont="1" applyFill="1" applyBorder="1"/>
    <xf numFmtId="0" fontId="30" fillId="0" borderId="126" xfId="0" applyFont="1" applyFill="1" applyBorder="1" applyAlignment="1">
      <alignment horizontal="center"/>
    </xf>
    <xf numFmtId="0" fontId="30" fillId="0" borderId="131" xfId="0" applyFont="1" applyFill="1" applyBorder="1" applyAlignment="1">
      <alignment wrapText="1"/>
    </xf>
    <xf numFmtId="3" fontId="30" fillId="0" borderId="126" xfId="1" applyNumberFormat="1" applyFont="1" applyFill="1" applyBorder="1"/>
    <xf numFmtId="3" fontId="30" fillId="0" borderId="130" xfId="1" applyNumberFormat="1" applyFont="1" applyFill="1" applyBorder="1"/>
    <xf numFmtId="3" fontId="30" fillId="0" borderId="187" xfId="1" applyNumberFormat="1" applyFont="1" applyFill="1" applyBorder="1"/>
    <xf numFmtId="0" fontId="10" fillId="5" borderId="233" xfId="0" applyFont="1" applyFill="1" applyBorder="1" applyAlignment="1">
      <alignment horizontal="center"/>
    </xf>
    <xf numFmtId="168" fontId="10" fillId="0" borderId="241" xfId="1" applyNumberFormat="1" applyFont="1" applyBorder="1"/>
    <xf numFmtId="0" fontId="10" fillId="5" borderId="236" xfId="0" applyFont="1" applyFill="1" applyBorder="1" applyAlignment="1">
      <alignment horizontal="center"/>
    </xf>
    <xf numFmtId="168" fontId="14" fillId="0" borderId="234" xfId="1" applyNumberFormat="1" applyFont="1" applyBorder="1"/>
    <xf numFmtId="168" fontId="22" fillId="0" borderId="234" xfId="1" applyNumberFormat="1" applyFont="1" applyBorder="1"/>
    <xf numFmtId="168" fontId="14" fillId="0" borderId="221" xfId="1" applyNumberFormat="1" applyFont="1" applyBorder="1"/>
    <xf numFmtId="168" fontId="21" fillId="0" borderId="52" xfId="1" applyNumberFormat="1" applyFont="1" applyBorder="1"/>
    <xf numFmtId="166" fontId="10" fillId="8" borderId="53" xfId="2" applyFont="1" applyFill="1" applyBorder="1"/>
    <xf numFmtId="166" fontId="10" fillId="8" borderId="54" xfId="2" applyFont="1" applyFill="1" applyBorder="1"/>
    <xf numFmtId="166" fontId="21" fillId="8" borderId="54" xfId="2" applyFont="1" applyFill="1" applyBorder="1"/>
    <xf numFmtId="166" fontId="10" fillId="8" borderId="55" xfId="2" applyFont="1" applyFill="1" applyBorder="1"/>
    <xf numFmtId="166" fontId="10" fillId="8" borderId="56" xfId="2" applyFont="1" applyFill="1" applyBorder="1"/>
    <xf numFmtId="166" fontId="10" fillId="8" borderId="52" xfId="2" applyFont="1" applyFill="1" applyBorder="1"/>
    <xf numFmtId="166" fontId="10" fillId="8" borderId="57" xfId="2" applyFont="1" applyFill="1" applyBorder="1"/>
    <xf numFmtId="166" fontId="10" fillId="8" borderId="107" xfId="2" applyFont="1" applyFill="1" applyBorder="1"/>
    <xf numFmtId="166" fontId="10" fillId="8" borderId="108" xfId="2" applyFont="1" applyFill="1" applyBorder="1"/>
    <xf numFmtId="166" fontId="10" fillId="8" borderId="109" xfId="2" applyFont="1" applyFill="1" applyBorder="1"/>
    <xf numFmtId="168" fontId="21" fillId="0" borderId="145" xfId="1" applyNumberFormat="1" applyFont="1" applyFill="1" applyBorder="1"/>
    <xf numFmtId="168" fontId="21" fillId="0" borderId="174" xfId="1" applyNumberFormat="1" applyFont="1" applyFill="1" applyBorder="1"/>
    <xf numFmtId="0" fontId="10" fillId="5" borderId="133" xfId="0" applyFont="1" applyFill="1" applyBorder="1" applyAlignment="1">
      <alignment horizontal="center"/>
    </xf>
    <xf numFmtId="165" fontId="22" fillId="0" borderId="145" xfId="2" applyNumberFormat="1" applyFont="1" applyFill="1" applyBorder="1"/>
    <xf numFmtId="165" fontId="22" fillId="0" borderId="153" xfId="2" applyNumberFormat="1" applyFont="1" applyFill="1" applyBorder="1"/>
    <xf numFmtId="3" fontId="21" fillId="0" borderId="146" xfId="0" applyNumberFormat="1" applyFont="1" applyBorder="1"/>
    <xf numFmtId="3" fontId="21" fillId="0" borderId="63" xfId="0" applyNumberFormat="1" applyFont="1" applyBorder="1"/>
    <xf numFmtId="3" fontId="21" fillId="0" borderId="62" xfId="0" applyNumberFormat="1" applyFont="1" applyBorder="1"/>
    <xf numFmtId="165" fontId="22" fillId="0" borderId="152" xfId="2" applyNumberFormat="1" applyFont="1" applyFill="1" applyBorder="1"/>
    <xf numFmtId="165" fontId="21" fillId="0" borderId="58" xfId="2" applyNumberFormat="1" applyFont="1" applyFill="1" applyBorder="1"/>
    <xf numFmtId="167" fontId="0" fillId="0" borderId="202" xfId="0" applyNumberFormat="1" applyFont="1" applyBorder="1" applyAlignment="1">
      <alignment horizontal="center"/>
    </xf>
    <xf numFmtId="167" fontId="0" fillId="0" borderId="75" xfId="0" applyNumberFormat="1" applyFont="1" applyBorder="1" applyAlignment="1">
      <alignment horizontal="center"/>
    </xf>
    <xf numFmtId="167" fontId="0" fillId="0" borderId="181" xfId="0" applyNumberFormat="1" applyFont="1" applyBorder="1" applyAlignment="1">
      <alignment horizontal="center"/>
    </xf>
    <xf numFmtId="167" fontId="0" fillId="0" borderId="157" xfId="0" applyNumberFormat="1" applyFont="1" applyBorder="1" applyAlignment="1">
      <alignment horizontal="center"/>
    </xf>
    <xf numFmtId="167" fontId="0" fillId="0" borderId="204" xfId="0" applyNumberFormat="1" applyFont="1" applyBorder="1" applyAlignment="1">
      <alignment horizontal="center"/>
    </xf>
    <xf numFmtId="3" fontId="33" fillId="0" borderId="104" xfId="0" applyNumberFormat="1" applyFont="1" applyFill="1" applyBorder="1"/>
    <xf numFmtId="3" fontId="33" fillId="0" borderId="9" xfId="0" applyNumberFormat="1" applyFont="1" applyFill="1" applyBorder="1"/>
    <xf numFmtId="3" fontId="33" fillId="0" borderId="105" xfId="0" applyNumberFormat="1" applyFont="1" applyFill="1" applyBorder="1"/>
    <xf numFmtId="3" fontId="33" fillId="0" borderId="68" xfId="0" applyNumberFormat="1" applyFont="1" applyFill="1" applyBorder="1"/>
    <xf numFmtId="3" fontId="33" fillId="0" borderId="17" xfId="0" applyNumberFormat="1" applyFont="1" applyFill="1" applyBorder="1"/>
    <xf numFmtId="3" fontId="33" fillId="0" borderId="69" xfId="0" applyNumberFormat="1" applyFont="1" applyFill="1" applyBorder="1"/>
    <xf numFmtId="3" fontId="33" fillId="0" borderId="112" xfId="0" applyNumberFormat="1" applyFont="1" applyFill="1" applyBorder="1"/>
    <xf numFmtId="3" fontId="33" fillId="0" borderId="23" xfId="0" applyNumberFormat="1" applyFont="1" applyFill="1" applyBorder="1"/>
    <xf numFmtId="0" fontId="0" fillId="0" borderId="52" xfId="0" applyFont="1" applyFill="1" applyBorder="1" applyAlignment="1">
      <alignment wrapText="1"/>
    </xf>
    <xf numFmtId="1" fontId="0" fillId="0" borderId="52" xfId="0" applyNumberFormat="1" applyFont="1" applyBorder="1" applyAlignment="1">
      <alignment horizontal="right"/>
    </xf>
    <xf numFmtId="168" fontId="8" fillId="0" borderId="52" xfId="1" applyNumberFormat="1" applyFont="1" applyBorder="1" applyAlignment="1">
      <alignment horizontal="right"/>
    </xf>
    <xf numFmtId="0" fontId="0" fillId="0" borderId="53" xfId="0" applyFont="1" applyFill="1" applyBorder="1" applyAlignment="1">
      <alignment horizontal="center"/>
    </xf>
    <xf numFmtId="0" fontId="11" fillId="0" borderId="54" xfId="0" applyFont="1" applyFill="1" applyBorder="1" applyAlignment="1">
      <alignment wrapText="1"/>
    </xf>
    <xf numFmtId="1" fontId="11" fillId="0" borderId="54" xfId="0" applyNumberFormat="1" applyFont="1" applyBorder="1" applyAlignment="1">
      <alignment horizontal="right"/>
    </xf>
    <xf numFmtId="168" fontId="11" fillId="0" borderId="54" xfId="1" applyNumberFormat="1" applyFont="1" applyBorder="1" applyAlignment="1">
      <alignment horizontal="right"/>
    </xf>
    <xf numFmtId="168" fontId="11" fillId="0" borderId="55" xfId="1" applyNumberFormat="1" applyFont="1" applyBorder="1" applyAlignment="1">
      <alignment horizontal="right"/>
    </xf>
    <xf numFmtId="0" fontId="0" fillId="0" borderId="56" xfId="0" applyFont="1" applyFill="1" applyBorder="1" applyAlignment="1">
      <alignment horizontal="center"/>
    </xf>
    <xf numFmtId="168" fontId="8" fillId="0" borderId="57" xfId="1" applyNumberFormat="1" applyFont="1" applyBorder="1" applyAlignment="1">
      <alignment horizontal="right"/>
    </xf>
    <xf numFmtId="0" fontId="0" fillId="0" borderId="58" xfId="0" applyFont="1" applyFill="1" applyBorder="1" applyAlignment="1">
      <alignment horizontal="center"/>
    </xf>
    <xf numFmtId="0" fontId="0" fillId="0" borderId="59" xfId="0" applyFont="1" applyFill="1" applyBorder="1" applyAlignment="1">
      <alignment wrapText="1"/>
    </xf>
    <xf numFmtId="1" fontId="0" fillId="0" borderId="59" xfId="0" applyNumberFormat="1" applyFont="1" applyBorder="1" applyAlignment="1">
      <alignment horizontal="right"/>
    </xf>
    <xf numFmtId="168" fontId="8" fillId="0" borderId="59" xfId="1" applyNumberFormat="1" applyFont="1" applyBorder="1" applyAlignment="1">
      <alignment horizontal="right"/>
    </xf>
    <xf numFmtId="168" fontId="8" fillId="0" borderId="60" xfId="1" applyNumberFormat="1" applyFont="1" applyBorder="1" applyAlignment="1">
      <alignment horizontal="right"/>
    </xf>
    <xf numFmtId="1" fontId="30" fillId="0" borderId="78" xfId="0" applyNumberFormat="1" applyFont="1" applyBorder="1" applyAlignment="1">
      <alignment horizontal="center"/>
    </xf>
    <xf numFmtId="1" fontId="30" fillId="0" borderId="191" xfId="0" applyNumberFormat="1" applyFont="1" applyBorder="1" applyAlignment="1">
      <alignment horizontal="center"/>
    </xf>
    <xf numFmtId="1" fontId="30" fillId="0" borderId="158" xfId="0" applyNumberFormat="1" applyFont="1" applyBorder="1" applyAlignment="1">
      <alignment horizontal="center"/>
    </xf>
    <xf numFmtId="0" fontId="26" fillId="0" borderId="116" xfId="0" applyFont="1" applyFill="1" applyBorder="1" applyAlignment="1">
      <alignment vertical="top"/>
    </xf>
    <xf numFmtId="0" fontId="29" fillId="0" borderId="133" xfId="0" applyFont="1" applyBorder="1" applyAlignment="1">
      <alignment horizontal="center" wrapText="1"/>
    </xf>
    <xf numFmtId="0" fontId="29" fillId="0" borderId="231" xfId="0" applyFont="1" applyBorder="1" applyAlignment="1">
      <alignment horizontal="center" wrapText="1"/>
    </xf>
    <xf numFmtId="0" fontId="26" fillId="0" borderId="136" xfId="0" applyFont="1" applyBorder="1" applyAlignment="1">
      <alignment vertical="top" wrapText="1"/>
    </xf>
    <xf numFmtId="0" fontId="26" fillId="0" borderId="172" xfId="0" applyFont="1" applyBorder="1" applyAlignment="1">
      <alignment vertical="top" wrapText="1"/>
    </xf>
    <xf numFmtId="0" fontId="30" fillId="0" borderId="233" xfId="0" applyFont="1" applyBorder="1" applyAlignment="1">
      <alignment horizontal="center"/>
    </xf>
    <xf numFmtId="0" fontId="30" fillId="0" borderId="241" xfId="0" applyFont="1" applyBorder="1"/>
    <xf numFmtId="0" fontId="18" fillId="0" borderId="107" xfId="0" applyFont="1" applyBorder="1" applyAlignment="1" applyProtection="1">
      <alignment horizontal="right"/>
    </xf>
    <xf numFmtId="0" fontId="29" fillId="0" borderId="133" xfId="0" applyFont="1" applyBorder="1" applyAlignment="1">
      <alignment horizontal="center"/>
    </xf>
    <xf numFmtId="0" fontId="29" fillId="0" borderId="166" xfId="0" applyFont="1" applyBorder="1"/>
    <xf numFmtId="0" fontId="18" fillId="0" borderId="75" xfId="0" applyFont="1" applyBorder="1" applyAlignment="1" applyProtection="1">
      <alignment horizontal="right"/>
    </xf>
    <xf numFmtId="0" fontId="18" fillId="0" borderId="76" xfId="0" applyFont="1" applyBorder="1" applyAlignment="1" applyProtection="1">
      <alignment horizontal="right"/>
    </xf>
    <xf numFmtId="0" fontId="18" fillId="0" borderId="206" xfId="0" applyFont="1" applyBorder="1" applyAlignment="1" applyProtection="1">
      <alignment horizontal="right"/>
    </xf>
    <xf numFmtId="0" fontId="26" fillId="0" borderId="121" xfId="0" applyFont="1" applyBorder="1" applyAlignment="1" applyProtection="1">
      <alignment vertical="top" wrapText="1"/>
      <protection locked="0"/>
    </xf>
    <xf numFmtId="166" fontId="0" fillId="0" borderId="78" xfId="2" applyFont="1" applyBorder="1"/>
    <xf numFmtId="166" fontId="0" fillId="0" borderId="79" xfId="2" applyFont="1" applyBorder="1"/>
    <xf numFmtId="166" fontId="0" fillId="0" borderId="80" xfId="2" applyFont="1" applyBorder="1"/>
    <xf numFmtId="0" fontId="11" fillId="0" borderId="166" xfId="0" applyFont="1" applyBorder="1"/>
    <xf numFmtId="166" fontId="11" fillId="0" borderId="167" xfId="2" applyFont="1" applyBorder="1"/>
    <xf numFmtId="3" fontId="18" fillId="0" borderId="148" xfId="0" applyNumberFormat="1" applyFont="1" applyBorder="1" applyAlignment="1" applyProtection="1">
      <alignment horizontal="right"/>
    </xf>
    <xf numFmtId="3" fontId="18" fillId="0" borderId="149" xfId="0" applyNumberFormat="1" applyFont="1" applyBorder="1" applyAlignment="1" applyProtection="1">
      <alignment horizontal="right"/>
    </xf>
    <xf numFmtId="3" fontId="18" fillId="0" borderId="150" xfId="0" applyNumberFormat="1" applyFont="1" applyBorder="1" applyAlignment="1" applyProtection="1">
      <alignment horizontal="right"/>
    </xf>
    <xf numFmtId="1" fontId="10" fillId="0" borderId="152" xfId="0" applyNumberFormat="1" applyFont="1" applyBorder="1"/>
    <xf numFmtId="0" fontId="10" fillId="0" borderId="153" xfId="2" applyNumberFormat="1" applyFont="1" applyBorder="1"/>
    <xf numFmtId="0" fontId="21" fillId="0" borderId="54" xfId="0" applyFont="1" applyBorder="1" applyAlignment="1" applyProtection="1">
      <alignment horizontal="right"/>
    </xf>
    <xf numFmtId="0" fontId="21" fillId="0" borderId="55" xfId="0" applyFont="1" applyBorder="1" applyAlignment="1" applyProtection="1">
      <alignment horizontal="right"/>
    </xf>
    <xf numFmtId="0" fontId="21" fillId="0" borderId="52" xfId="0" applyFont="1" applyBorder="1" applyAlignment="1" applyProtection="1">
      <alignment horizontal="right"/>
    </xf>
    <xf numFmtId="0" fontId="21" fillId="0" borderId="57" xfId="0" applyFont="1" applyBorder="1" applyAlignment="1" applyProtection="1">
      <alignment horizontal="right"/>
    </xf>
    <xf numFmtId="0" fontId="21" fillId="0" borderId="59" xfId="0" applyFont="1" applyBorder="1" applyAlignment="1" applyProtection="1">
      <alignment horizontal="right"/>
    </xf>
    <xf numFmtId="0" fontId="21" fillId="0" borderId="60" xfId="0" applyFont="1" applyBorder="1" applyAlignment="1" applyProtection="1">
      <alignment horizontal="right"/>
    </xf>
    <xf numFmtId="0" fontId="21" fillId="0" borderId="140" xfId="0" applyFont="1" applyBorder="1" applyAlignment="1" applyProtection="1">
      <alignment horizontal="right"/>
    </xf>
    <xf numFmtId="0" fontId="21" fillId="0" borderId="141" xfId="0" applyFont="1" applyBorder="1" applyAlignment="1" applyProtection="1">
      <alignment horizontal="right"/>
    </xf>
    <xf numFmtId="0" fontId="21" fillId="0" borderId="142" xfId="0" applyFont="1" applyBorder="1" applyAlignment="1" applyProtection="1">
      <alignment horizontal="right"/>
    </xf>
    <xf numFmtId="0" fontId="10" fillId="0" borderId="190" xfId="0" applyFont="1" applyBorder="1"/>
    <xf numFmtId="0" fontId="10" fillId="0" borderId="141" xfId="0" applyFont="1" applyBorder="1"/>
    <xf numFmtId="0" fontId="10" fillId="0" borderId="78" xfId="0" applyFont="1" applyBorder="1"/>
    <xf numFmtId="0" fontId="10" fillId="0" borderId="79" xfId="0" applyFont="1" applyBorder="1"/>
    <xf numFmtId="0" fontId="10" fillId="0" borderId="80" xfId="0" applyFont="1" applyBorder="1"/>
    <xf numFmtId="0" fontId="10" fillId="0" borderId="191" xfId="0" applyFont="1" applyBorder="1"/>
    <xf numFmtId="1" fontId="14" fillId="0" borderId="53" xfId="0" applyNumberFormat="1" applyFont="1" applyBorder="1"/>
    <xf numFmtId="0" fontId="14" fillId="0" borderId="75" xfId="0" applyFont="1" applyBorder="1"/>
    <xf numFmtId="0" fontId="14" fillId="0" borderId="78" xfId="0" applyFont="1" applyBorder="1"/>
    <xf numFmtId="0" fontId="14" fillId="0" borderId="140" xfId="0" applyFont="1" applyBorder="1"/>
    <xf numFmtId="0" fontId="14" fillId="0" borderId="55" xfId="2" applyNumberFormat="1" applyFont="1" applyBorder="1"/>
    <xf numFmtId="0" fontId="10" fillId="0" borderId="142" xfId="0" applyFont="1" applyBorder="1"/>
    <xf numFmtId="3" fontId="14" fillId="0" borderId="145" xfId="0" applyNumberFormat="1" applyFont="1" applyBorder="1"/>
    <xf numFmtId="167" fontId="14" fillId="0" borderId="145" xfId="0" applyNumberFormat="1" applyFont="1" applyBorder="1"/>
    <xf numFmtId="0" fontId="26" fillId="0" borderId="152" xfId="0" applyFont="1" applyBorder="1" applyProtection="1"/>
    <xf numFmtId="0" fontId="26" fillId="0" borderId="145" xfId="0" applyFont="1" applyBorder="1" applyProtection="1"/>
    <xf numFmtId="0" fontId="26" fillId="0" borderId="153" xfId="0" applyFont="1" applyBorder="1" applyProtection="1"/>
    <xf numFmtId="167" fontId="10" fillId="0" borderId="110" xfId="0" applyNumberFormat="1" applyFont="1" applyBorder="1"/>
    <xf numFmtId="167" fontId="10" fillId="0" borderId="118" xfId="0" applyNumberFormat="1" applyFont="1" applyBorder="1"/>
    <xf numFmtId="167" fontId="10" fillId="0" borderId="119" xfId="0" applyNumberFormat="1" applyFont="1" applyBorder="1"/>
    <xf numFmtId="0" fontId="21" fillId="0" borderId="53" xfId="0" applyFont="1" applyBorder="1" applyAlignment="1" applyProtection="1">
      <alignment horizontal="right"/>
    </xf>
    <xf numFmtId="0" fontId="21" fillId="0" borderId="56" xfId="0" applyFont="1" applyBorder="1" applyAlignment="1" applyProtection="1">
      <alignment horizontal="right"/>
    </xf>
    <xf numFmtId="0" fontId="21" fillId="0" borderId="58" xfId="0" applyFont="1" applyBorder="1" applyAlignment="1" applyProtection="1">
      <alignment horizontal="right"/>
    </xf>
    <xf numFmtId="170" fontId="18" fillId="0" borderId="55" xfId="0" applyNumberFormat="1" applyFont="1" applyBorder="1" applyAlignment="1" applyProtection="1">
      <alignment horizontal="right"/>
    </xf>
    <xf numFmtId="170" fontId="18" fillId="0" borderId="57" xfId="0" applyNumberFormat="1" applyFont="1" applyBorder="1" applyAlignment="1" applyProtection="1">
      <alignment horizontal="right"/>
    </xf>
    <xf numFmtId="170" fontId="18" fillId="0" borderId="60" xfId="0" applyNumberFormat="1" applyFont="1" applyBorder="1" applyAlignment="1" applyProtection="1">
      <alignment horizontal="right"/>
    </xf>
    <xf numFmtId="167" fontId="11" fillId="0" borderId="167" xfId="0" applyNumberFormat="1" applyFont="1" applyBorder="1"/>
    <xf numFmtId="0" fontId="42" fillId="0" borderId="52" xfId="0" applyFont="1" applyBorder="1" applyAlignment="1" applyProtection="1">
      <alignment horizontal="right"/>
    </xf>
    <xf numFmtId="3" fontId="30" fillId="0" borderId="148" xfId="1" applyNumberFormat="1" applyFont="1" applyBorder="1" applyAlignment="1">
      <alignment vertical="center"/>
    </xf>
    <xf numFmtId="3" fontId="30" fillId="0" borderId="149" xfId="1" applyNumberFormat="1" applyFont="1" applyBorder="1" applyAlignment="1">
      <alignment vertical="center"/>
    </xf>
    <xf numFmtId="3" fontId="30" fillId="0" borderId="150" xfId="1" applyNumberFormat="1" applyFont="1" applyBorder="1" applyAlignment="1">
      <alignment vertical="center"/>
    </xf>
    <xf numFmtId="0" fontId="42" fillId="0" borderId="53" xfId="0" applyFont="1" applyBorder="1" applyAlignment="1" applyProtection="1">
      <alignment horizontal="right"/>
    </xf>
    <xf numFmtId="0" fontId="42" fillId="0" borderId="54" xfId="0" applyFont="1" applyBorder="1" applyAlignment="1" applyProtection="1">
      <alignment horizontal="right"/>
    </xf>
    <xf numFmtId="0" fontId="42" fillId="0" borderId="55" xfId="0" applyFont="1" applyBorder="1" applyAlignment="1" applyProtection="1">
      <alignment horizontal="right"/>
    </xf>
    <xf numFmtId="0" fontId="42" fillId="0" borderId="56" xfId="0" applyFont="1" applyBorder="1" applyAlignment="1" applyProtection="1">
      <alignment horizontal="right"/>
    </xf>
    <xf numFmtId="0" fontId="42" fillId="0" borderId="57" xfId="0" applyFont="1" applyBorder="1" applyAlignment="1" applyProtection="1">
      <alignment horizontal="right"/>
    </xf>
    <xf numFmtId="0" fontId="42" fillId="0" borderId="58" xfId="0" applyFont="1" applyBorder="1" applyAlignment="1" applyProtection="1">
      <alignment horizontal="right"/>
    </xf>
    <xf numFmtId="0" fontId="42" fillId="0" borderId="59" xfId="0" applyFont="1" applyBorder="1" applyAlignment="1" applyProtection="1">
      <alignment horizontal="right"/>
    </xf>
    <xf numFmtId="0" fontId="42" fillId="0" borderId="60" xfId="0" applyFont="1" applyBorder="1" applyAlignment="1" applyProtection="1">
      <alignment horizontal="right"/>
    </xf>
    <xf numFmtId="0" fontId="10" fillId="0" borderId="136" xfId="0" applyFont="1" applyFill="1" applyBorder="1" applyAlignment="1">
      <alignment horizontal="center"/>
    </xf>
    <xf numFmtId="0" fontId="10" fillId="0" borderId="52" xfId="0" applyFont="1" applyFill="1" applyBorder="1" applyAlignment="1">
      <alignment horizontal="center"/>
    </xf>
    <xf numFmtId="0" fontId="30" fillId="5" borderId="202" xfId="0" applyFont="1" applyFill="1" applyBorder="1" applyAlignment="1">
      <alignment horizontal="center"/>
    </xf>
    <xf numFmtId="0" fontId="29" fillId="0" borderId="78" xfId="0" applyFont="1" applyFill="1" applyBorder="1" applyAlignment="1">
      <alignment vertical="top" wrapText="1"/>
    </xf>
    <xf numFmtId="0" fontId="30" fillId="5" borderId="181" xfId="0" applyFont="1" applyFill="1" applyBorder="1" applyAlignment="1">
      <alignment horizontal="center"/>
    </xf>
    <xf numFmtId="0" fontId="30" fillId="0" borderId="191" xfId="0" applyFont="1" applyFill="1" applyBorder="1" applyAlignment="1">
      <alignment vertical="top" wrapText="1"/>
    </xf>
    <xf numFmtId="0" fontId="30" fillId="0" borderId="181" xfId="0" applyFont="1" applyBorder="1" applyAlignment="1">
      <alignment horizontal="center"/>
    </xf>
    <xf numFmtId="0" fontId="30" fillId="0" borderId="159" xfId="0" applyFont="1" applyBorder="1" applyAlignment="1">
      <alignment horizontal="center"/>
    </xf>
    <xf numFmtId="0" fontId="30" fillId="0" borderId="160" xfId="0" applyFont="1" applyBorder="1" applyAlignment="1">
      <alignment horizontal="center"/>
    </xf>
    <xf numFmtId="0" fontId="30" fillId="0" borderId="158" xfId="0" applyFont="1" applyFill="1" applyBorder="1" applyAlignment="1">
      <alignment vertical="top" wrapText="1"/>
    </xf>
    <xf numFmtId="3" fontId="10" fillId="0" borderId="0" xfId="0" applyNumberFormat="1" applyFont="1" applyBorder="1" applyAlignment="1">
      <alignment horizontal="right"/>
    </xf>
    <xf numFmtId="3" fontId="10" fillId="0" borderId="242" xfId="0" applyNumberFormat="1" applyFont="1" applyBorder="1" applyAlignment="1">
      <alignment horizontal="right"/>
    </xf>
    <xf numFmtId="3" fontId="10" fillId="0" borderId="242" xfId="0" applyNumberFormat="1" applyFont="1" applyBorder="1" applyAlignment="1">
      <alignment horizontal="center"/>
    </xf>
    <xf numFmtId="0" fontId="26" fillId="0" borderId="0" xfId="0" applyFont="1" applyBorder="1" applyAlignment="1">
      <alignment wrapText="1"/>
    </xf>
    <xf numFmtId="0" fontId="26" fillId="0" borderId="52" xfId="0" applyFont="1" applyBorder="1" applyAlignment="1">
      <alignment wrapText="1"/>
    </xf>
    <xf numFmtId="3" fontId="14" fillId="0" borderId="174" xfId="0" applyNumberFormat="1" applyFont="1" applyBorder="1" applyAlignment="1">
      <alignment horizontal="right"/>
    </xf>
    <xf numFmtId="0" fontId="26" fillId="0" borderId="125" xfId="0" applyFont="1" applyBorder="1" applyAlignment="1">
      <alignment wrapText="1"/>
    </xf>
    <xf numFmtId="0" fontId="11" fillId="0" borderId="81" xfId="0" applyFont="1" applyBorder="1" applyAlignment="1">
      <alignment horizontal="center"/>
    </xf>
    <xf numFmtId="0" fontId="11" fillId="0" borderId="82" xfId="0" applyFont="1" applyBorder="1" applyAlignment="1">
      <alignment horizontal="center"/>
    </xf>
    <xf numFmtId="0" fontId="11" fillId="0" borderId="83" xfId="0" applyFont="1" applyBorder="1" applyAlignment="1">
      <alignment horizontal="center"/>
    </xf>
    <xf numFmtId="0" fontId="22" fillId="0" borderId="3" xfId="0" applyFont="1" applyFill="1" applyBorder="1" applyAlignment="1">
      <alignment horizontal="center"/>
    </xf>
    <xf numFmtId="0" fontId="14" fillId="0" borderId="100" xfId="0" applyFont="1" applyFill="1" applyBorder="1" applyAlignment="1">
      <alignment horizontal="center"/>
    </xf>
    <xf numFmtId="0" fontId="14" fillId="0" borderId="115" xfId="0" applyFont="1" applyFill="1" applyBorder="1" applyAlignment="1">
      <alignment horizontal="center"/>
    </xf>
    <xf numFmtId="0" fontId="22" fillId="0" borderId="196" xfId="0" applyFont="1" applyFill="1" applyBorder="1" applyAlignment="1">
      <alignment horizontal="center" wrapText="1"/>
    </xf>
    <xf numFmtId="0" fontId="22" fillId="0" borderId="197" xfId="0" applyFont="1" applyFill="1" applyBorder="1" applyAlignment="1">
      <alignment horizontal="center" wrapText="1"/>
    </xf>
    <xf numFmtId="0" fontId="22" fillId="0" borderId="198" xfId="0" applyFont="1" applyFill="1" applyBorder="1" applyAlignment="1">
      <alignment horizontal="center" wrapText="1"/>
    </xf>
    <xf numFmtId="0" fontId="22" fillId="0" borderId="81" xfId="0" applyFont="1" applyFill="1" applyBorder="1" applyAlignment="1">
      <alignment horizontal="center"/>
    </xf>
    <xf numFmtId="0" fontId="22" fillId="0" borderId="82" xfId="0" applyFont="1" applyFill="1" applyBorder="1" applyAlignment="1">
      <alignment horizontal="center"/>
    </xf>
    <xf numFmtId="0" fontId="22" fillId="0" borderId="83" xfId="0" applyFont="1" applyFill="1" applyBorder="1" applyAlignment="1">
      <alignment horizontal="center"/>
    </xf>
    <xf numFmtId="0" fontId="22" fillId="0" borderId="81" xfId="0" applyFont="1" applyFill="1" applyBorder="1" applyAlignment="1">
      <alignment horizontal="center" wrapText="1"/>
    </xf>
    <xf numFmtId="0" fontId="22" fillId="0" borderId="82" xfId="0" applyFont="1" applyFill="1" applyBorder="1" applyAlignment="1">
      <alignment horizontal="center" wrapText="1"/>
    </xf>
    <xf numFmtId="0" fontId="22" fillId="0" borderId="83" xfId="0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20" fillId="0" borderId="0" xfId="0" applyFont="1" applyBorder="1" applyAlignment="1">
      <alignment horizontal="center" vertical="center" wrapText="1"/>
    </xf>
    <xf numFmtId="0" fontId="14" fillId="0" borderId="136" xfId="0" applyFont="1" applyFill="1" applyBorder="1" applyAlignment="1">
      <alignment horizontal="center"/>
    </xf>
    <xf numFmtId="0" fontId="14" fillId="0" borderId="137" xfId="0" applyFont="1" applyFill="1" applyBorder="1" applyAlignment="1">
      <alignment horizontal="center"/>
    </xf>
    <xf numFmtId="0" fontId="14" fillId="0" borderId="132" xfId="0" applyFont="1" applyFill="1" applyBorder="1" applyAlignment="1">
      <alignment horizontal="center"/>
    </xf>
    <xf numFmtId="0" fontId="14" fillId="0" borderId="98" xfId="0" applyFont="1" applyFill="1" applyBorder="1" applyAlignment="1">
      <alignment horizontal="center" wrapText="1"/>
    </xf>
    <xf numFmtId="0" fontId="14" fillId="0" borderId="99" xfId="0" applyFont="1" applyFill="1" applyBorder="1" applyAlignment="1">
      <alignment horizontal="center" wrapText="1"/>
    </xf>
    <xf numFmtId="0" fontId="14" fillId="0" borderId="101" xfId="0" applyFont="1" applyFill="1" applyBorder="1" applyAlignment="1">
      <alignment horizontal="center" wrapText="1"/>
    </xf>
    <xf numFmtId="0" fontId="14" fillId="0" borderId="209" xfId="0" applyFont="1" applyFill="1" applyBorder="1" applyAlignment="1">
      <alignment horizontal="center" wrapText="1"/>
    </xf>
    <xf numFmtId="0" fontId="14" fillId="0" borderId="49" xfId="0" applyFont="1" applyFill="1" applyBorder="1" applyAlignment="1">
      <alignment horizontal="center" wrapText="1"/>
    </xf>
    <xf numFmtId="0" fontId="14" fillId="0" borderId="156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41" xfId="0" applyFont="1" applyFill="1" applyBorder="1" applyAlignment="1">
      <alignment horizontal="center" wrapText="1"/>
    </xf>
    <xf numFmtId="0" fontId="29" fillId="0" borderId="3" xfId="0" applyFont="1" applyFill="1" applyBorder="1" applyAlignment="1">
      <alignment horizontal="center"/>
    </xf>
    <xf numFmtId="0" fontId="39" fillId="0" borderId="81" xfId="0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0" fontId="39" fillId="0" borderId="83" xfId="0" applyFont="1" applyBorder="1" applyAlignment="1">
      <alignment horizontal="center" vertical="center"/>
    </xf>
    <xf numFmtId="0" fontId="29" fillId="0" borderId="136" xfId="0" applyFont="1" applyBorder="1" applyAlignment="1">
      <alignment horizontal="center"/>
    </xf>
    <xf numFmtId="0" fontId="29" fillId="0" borderId="132" xfId="0" applyFont="1" applyBorder="1" applyAlignment="1">
      <alignment horizontal="center"/>
    </xf>
    <xf numFmtId="0" fontId="29" fillId="0" borderId="81" xfId="0" applyFont="1" applyBorder="1" applyAlignment="1">
      <alignment horizontal="center"/>
    </xf>
    <xf numFmtId="0" fontId="29" fillId="0" borderId="83" xfId="0" applyFont="1" applyBorder="1" applyAlignment="1">
      <alignment horizontal="center"/>
    </xf>
    <xf numFmtId="0" fontId="11" fillId="0" borderId="40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00" xfId="0" applyFont="1" applyFill="1" applyBorder="1" applyAlignment="1">
      <alignment horizontal="center" wrapText="1"/>
    </xf>
    <xf numFmtId="0" fontId="11" fillId="0" borderId="106" xfId="0" applyFont="1" applyFill="1" applyBorder="1" applyAlignment="1">
      <alignment horizontal="center" wrapText="1"/>
    </xf>
    <xf numFmtId="0" fontId="11" fillId="0" borderId="99" xfId="0" applyFont="1" applyFill="1" applyBorder="1" applyAlignment="1">
      <alignment horizontal="center" wrapText="1"/>
    </xf>
    <xf numFmtId="0" fontId="11" fillId="0" borderId="16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1" xfId="0" applyFont="1" applyFill="1" applyBorder="1" applyAlignment="1">
      <alignment horizontal="center" wrapText="1"/>
    </xf>
    <xf numFmtId="0" fontId="14" fillId="0" borderId="100" xfId="0" applyFont="1" applyFill="1" applyBorder="1" applyAlignment="1">
      <alignment horizontal="center" wrapText="1"/>
    </xf>
    <xf numFmtId="0" fontId="14" fillId="0" borderId="106" xfId="0" applyFont="1" applyFill="1" applyBorder="1" applyAlignment="1">
      <alignment horizontal="center" wrapText="1"/>
    </xf>
    <xf numFmtId="0" fontId="14" fillId="0" borderId="161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187" xfId="0" applyFont="1" applyBorder="1" applyAlignment="1">
      <alignment horizontal="center" wrapText="1"/>
    </xf>
    <xf numFmtId="0" fontId="14" fillId="0" borderId="158" xfId="0" applyFont="1" applyBorder="1" applyAlignment="1">
      <alignment horizontal="center" wrapText="1"/>
    </xf>
    <xf numFmtId="0" fontId="14" fillId="0" borderId="200" xfId="0" applyFont="1" applyFill="1" applyBorder="1" applyAlignment="1">
      <alignment horizontal="center"/>
    </xf>
    <xf numFmtId="0" fontId="14" fillId="0" borderId="82" xfId="0" applyFont="1" applyFill="1" applyBorder="1" applyAlignment="1">
      <alignment horizontal="center"/>
    </xf>
    <xf numFmtId="0" fontId="14" fillId="0" borderId="201" xfId="0" applyFont="1" applyFill="1" applyBorder="1" applyAlignment="1">
      <alignment horizontal="center"/>
    </xf>
    <xf numFmtId="0" fontId="14" fillId="0" borderId="83" xfId="0" applyFont="1" applyFill="1" applyBorder="1" applyAlignment="1">
      <alignment horizontal="center"/>
    </xf>
    <xf numFmtId="0" fontId="14" fillId="0" borderId="196" xfId="0" applyFont="1" applyFill="1" applyBorder="1" applyAlignment="1">
      <alignment horizontal="center"/>
    </xf>
    <xf numFmtId="0" fontId="14" fillId="0" borderId="197" xfId="0" applyFont="1" applyFill="1" applyBorder="1" applyAlignment="1">
      <alignment horizontal="center"/>
    </xf>
    <xf numFmtId="0" fontId="14" fillId="0" borderId="235" xfId="0" applyFont="1" applyFill="1" applyBorder="1" applyAlignment="1">
      <alignment horizontal="center"/>
    </xf>
    <xf numFmtId="0" fontId="14" fillId="0" borderId="81" xfId="0" applyFont="1" applyFill="1" applyBorder="1" applyAlignment="1">
      <alignment horizontal="center" wrapText="1"/>
    </xf>
    <xf numFmtId="0" fontId="14" fillId="0" borderId="82" xfId="0" applyFont="1" applyFill="1" applyBorder="1" applyAlignment="1">
      <alignment horizontal="center" wrapText="1"/>
    </xf>
    <xf numFmtId="0" fontId="14" fillId="0" borderId="83" xfId="0" applyFont="1" applyFill="1" applyBorder="1" applyAlignment="1">
      <alignment horizontal="center" wrapText="1"/>
    </xf>
    <xf numFmtId="0" fontId="29" fillId="0" borderId="196" xfId="0" applyFont="1" applyFill="1" applyBorder="1" applyAlignment="1">
      <alignment horizontal="center" vertical="center" wrapText="1"/>
    </xf>
    <xf numFmtId="0" fontId="29" fillId="0" borderId="197" xfId="0" applyFont="1" applyFill="1" applyBorder="1" applyAlignment="1">
      <alignment horizontal="center" vertical="center" wrapText="1"/>
    </xf>
    <xf numFmtId="0" fontId="29" fillId="0" borderId="19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64" xfId="0" applyFont="1" applyFill="1" applyBorder="1" applyAlignment="1">
      <alignment horizontal="left" wrapText="1"/>
    </xf>
    <xf numFmtId="0" fontId="11" fillId="0" borderId="137" xfId="0" applyFont="1" applyFill="1" applyBorder="1" applyAlignment="1">
      <alignment horizontal="left" wrapText="1"/>
    </xf>
    <xf numFmtId="0" fontId="11" fillId="0" borderId="81" xfId="0" applyFont="1" applyFill="1" applyBorder="1" applyAlignment="1">
      <alignment horizontal="left" wrapText="1"/>
    </xf>
    <xf numFmtId="0" fontId="11" fillId="0" borderId="83" xfId="0" applyFont="1" applyFill="1" applyBorder="1" applyAlignment="1">
      <alignment horizontal="left" wrapText="1"/>
    </xf>
    <xf numFmtId="0" fontId="14" fillId="0" borderId="222" xfId="0" applyFont="1" applyFill="1" applyBorder="1" applyAlignment="1">
      <alignment horizontal="center" wrapText="1"/>
    </xf>
    <xf numFmtId="0" fontId="14" fillId="0" borderId="143" xfId="0" applyFont="1" applyFill="1" applyBorder="1" applyAlignment="1">
      <alignment horizontal="center" wrapText="1"/>
    </xf>
    <xf numFmtId="0" fontId="29" fillId="0" borderId="1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41" xfId="0" applyFont="1" applyFill="1" applyBorder="1" applyAlignment="1">
      <alignment horizontal="center"/>
    </xf>
    <xf numFmtId="0" fontId="29" fillId="0" borderId="106" xfId="0" applyFont="1" applyFill="1" applyBorder="1" applyAlignment="1">
      <alignment horizontal="center"/>
    </xf>
    <xf numFmtId="0" fontId="29" fillId="0" borderId="99" xfId="0" applyFont="1" applyFill="1" applyBorder="1" applyAlignment="1">
      <alignment horizontal="center"/>
    </xf>
    <xf numFmtId="0" fontId="29" fillId="0" borderId="161" xfId="0" applyFont="1" applyFill="1" applyBorder="1" applyAlignment="1">
      <alignment horizontal="center"/>
    </xf>
    <xf numFmtId="0" fontId="29" fillId="0" borderId="200" xfId="0" applyFont="1" applyFill="1" applyBorder="1" applyAlignment="1">
      <alignment horizontal="center"/>
    </xf>
    <xf numFmtId="0" fontId="29" fillId="0" borderId="82" xfId="0" applyFont="1" applyFill="1" applyBorder="1" applyAlignment="1">
      <alignment horizontal="center"/>
    </xf>
    <xf numFmtId="0" fontId="29" fillId="0" borderId="83" xfId="0" applyFont="1" applyFill="1" applyBorder="1" applyAlignment="1">
      <alignment horizontal="center"/>
    </xf>
    <xf numFmtId="0" fontId="29" fillId="0" borderId="101" xfId="0" applyFont="1" applyFill="1" applyBorder="1" applyAlignment="1">
      <alignment horizontal="center"/>
    </xf>
    <xf numFmtId="0" fontId="14" fillId="0" borderId="229" xfId="0" applyFont="1" applyFill="1" applyBorder="1" applyAlignment="1">
      <alignment horizontal="center"/>
    </xf>
    <xf numFmtId="0" fontId="14" fillId="0" borderId="177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0" fillId="0" borderId="137" xfId="0" applyFont="1" applyBorder="1" applyAlignment="1">
      <alignment horizontal="left" wrapText="1"/>
    </xf>
    <xf numFmtId="0" fontId="14" fillId="0" borderId="1" xfId="0" applyFont="1" applyFill="1" applyBorder="1" applyAlignment="1">
      <alignment horizontal="center"/>
    </xf>
  </cellXfs>
  <cellStyles count="440">
    <cellStyle name="cf1" xfId="3"/>
    <cellStyle name="Hyperkobling 2" xfId="37"/>
    <cellStyle name="Komma" xfId="1" builtinId="3" customBuiltin="1"/>
    <cellStyle name="Komma 2" xfId="13"/>
    <cellStyle name="Komma 3" xfId="18"/>
    <cellStyle name="Normal" xfId="0" builtinId="0" customBuiltin="1"/>
    <cellStyle name="Normal 10" xfId="44"/>
    <cellStyle name="Normal 10 2" xfId="58"/>
    <cellStyle name="Normal 10 2 2" xfId="139"/>
    <cellStyle name="Normal 10 3" xfId="147"/>
    <cellStyle name="Normal 10 3 2" xfId="180"/>
    <cellStyle name="Normal 10 4" xfId="114"/>
    <cellStyle name="Normal 10 4 2" xfId="209"/>
    <cellStyle name="Normal 10 4 3" xfId="265"/>
    <cellStyle name="Normal 10 4 4" xfId="337"/>
    <cellStyle name="Normal 10 4 5" xfId="410"/>
    <cellStyle name="Normal 11" xfId="9"/>
    <cellStyle name="Normal 11 2" xfId="108"/>
    <cellStyle name="Normal 11 3" xfId="299"/>
    <cellStyle name="Normal 11 4" xfId="376"/>
    <cellStyle name="Normal 12" xfId="61"/>
    <cellStyle name="Normal 12 2" xfId="300"/>
    <cellStyle name="Normal 12 3" xfId="345"/>
    <cellStyle name="Normal 13" xfId="83"/>
    <cellStyle name="Normal 14" xfId="181"/>
    <cellStyle name="Normal 15" xfId="237"/>
    <cellStyle name="Normal 16" xfId="308"/>
    <cellStyle name="Normal 17" xfId="382"/>
    <cellStyle name="Normal 18" xfId="439"/>
    <cellStyle name="Normal 2" xfId="4"/>
    <cellStyle name="Normal 2 2" xfId="38"/>
    <cellStyle name="Normal 2 2 2" xfId="76"/>
    <cellStyle name="Normal 2 2 2 2" xfId="121"/>
    <cellStyle name="Normal 2 2 2 3" xfId="297"/>
    <cellStyle name="Normal 2 2 2 4" xfId="381"/>
    <cellStyle name="Normal 2 2 3" xfId="99"/>
    <cellStyle name="Normal 2 2 4" xfId="196"/>
    <cellStyle name="Normal 2 2 5" xfId="252"/>
    <cellStyle name="Normal 2 2 6" xfId="324"/>
    <cellStyle name="Normal 2 2 7" xfId="397"/>
    <cellStyle name="Normal 2 3" xfId="15"/>
    <cellStyle name="Normal 2 3 2" xfId="120"/>
    <cellStyle name="Normal 2 4" xfId="129"/>
    <cellStyle name="Normal 3" xfId="10"/>
    <cellStyle name="Normal 3 2" xfId="19"/>
    <cellStyle name="Normal 3 2 2" xfId="131"/>
    <cellStyle name="Normal 3 2 3" xfId="110"/>
    <cellStyle name="Normal 3 2 3 2" xfId="206"/>
    <cellStyle name="Normal 3 2 3 3" xfId="262"/>
    <cellStyle name="Normal 3 2 3 4" xfId="334"/>
    <cellStyle name="Normal 3 2 3 5" xfId="407"/>
    <cellStyle name="Normal 3 3" xfId="52"/>
    <cellStyle name="Normal 3 3 2" xfId="118"/>
    <cellStyle name="Normal 3 3 3" xfId="379"/>
    <cellStyle name="Normal 3 4" xfId="128"/>
    <cellStyle name="Normal 3 5" xfId="140"/>
    <cellStyle name="Normal 3 5 2" xfId="178"/>
    <cellStyle name="Normal 3 6" xfId="107"/>
    <cellStyle name="Normal 3 6 2" xfId="204"/>
    <cellStyle name="Normal 3 6 3" xfId="260"/>
    <cellStyle name="Normal 3 6 4" xfId="332"/>
    <cellStyle name="Normal 3 6 5" xfId="405"/>
    <cellStyle name="Normal 4" xfId="20"/>
    <cellStyle name="Normal 4 10" xfId="84"/>
    <cellStyle name="Normal 4 11" xfId="182"/>
    <cellStyle name="Normal 4 12" xfId="238"/>
    <cellStyle name="Normal 4 13" xfId="310"/>
    <cellStyle name="Normal 4 14" xfId="383"/>
    <cellStyle name="Normal 4 2" xfId="22"/>
    <cellStyle name="Normal 4 2 10" xfId="240"/>
    <cellStyle name="Normal 4 2 11" xfId="312"/>
    <cellStyle name="Normal 4 2 12" xfId="385"/>
    <cellStyle name="Normal 4 2 2" xfId="30"/>
    <cellStyle name="Normal 4 2 2 2" xfId="70"/>
    <cellStyle name="Normal 4 2 2 2 2" xfId="166"/>
    <cellStyle name="Normal 4 2 2 2 3" xfId="231"/>
    <cellStyle name="Normal 4 2 2 2 4" xfId="287"/>
    <cellStyle name="Normal 4 2 2 2 5" xfId="364"/>
    <cellStyle name="Normal 4 2 2 2 6" xfId="432"/>
    <cellStyle name="Normal 4 2 2 3" xfId="93"/>
    <cellStyle name="Normal 4 2 2 4" xfId="190"/>
    <cellStyle name="Normal 4 2 2 5" xfId="246"/>
    <cellStyle name="Normal 4 2 2 6" xfId="318"/>
    <cellStyle name="Normal 4 2 2 7" xfId="391"/>
    <cellStyle name="Normal 4 2 3" xfId="34"/>
    <cellStyle name="Normal 4 2 3 2" xfId="74"/>
    <cellStyle name="Normal 4 2 3 2 2" xfId="307"/>
    <cellStyle name="Normal 4 2 3 2 3" xfId="370"/>
    <cellStyle name="Normal 4 2 3 3" xfId="97"/>
    <cellStyle name="Normal 4 2 3 4" xfId="194"/>
    <cellStyle name="Normal 4 2 3 5" xfId="250"/>
    <cellStyle name="Normal 4 2 3 6" xfId="322"/>
    <cellStyle name="Normal 4 2 3 7" xfId="395"/>
    <cellStyle name="Normal 4 2 4" xfId="64"/>
    <cellStyle name="Normal 4 2 4 2" xfId="151"/>
    <cellStyle name="Normal 4 2 4 3" xfId="216"/>
    <cellStyle name="Normal 4 2 4 4" xfId="272"/>
    <cellStyle name="Normal 4 2 4 5" xfId="349"/>
    <cellStyle name="Normal 4 2 4 6" xfId="417"/>
    <cellStyle name="Normal 4 2 5" xfId="162"/>
    <cellStyle name="Normal 4 2 5 2" xfId="227"/>
    <cellStyle name="Normal 4 2 5 3" xfId="283"/>
    <cellStyle name="Normal 4 2 5 4" xfId="360"/>
    <cellStyle name="Normal 4 2 5 5" xfId="428"/>
    <cellStyle name="Normal 4 2 6" xfId="170"/>
    <cellStyle name="Normal 4 2 6 2" xfId="235"/>
    <cellStyle name="Normal 4 2 6 3" xfId="291"/>
    <cellStyle name="Normal 4 2 6 4" xfId="368"/>
    <cellStyle name="Normal 4 2 6 5" xfId="436"/>
    <cellStyle name="Normal 4 2 7" xfId="156"/>
    <cellStyle name="Normal 4 2 7 2" xfId="221"/>
    <cellStyle name="Normal 4 2 7 3" xfId="277"/>
    <cellStyle name="Normal 4 2 7 4" xfId="354"/>
    <cellStyle name="Normal 4 2 7 5" xfId="422"/>
    <cellStyle name="Normal 4 2 8" xfId="86"/>
    <cellStyle name="Normal 4 2 9" xfId="184"/>
    <cellStyle name="Normal 4 2_MAL2T-2014A.XLS" xfId="172"/>
    <cellStyle name="Normal 4 3" xfId="25"/>
    <cellStyle name="Normal 4 3 10" xfId="388"/>
    <cellStyle name="Normal 4 3 2" xfId="47"/>
    <cellStyle name="Normal 4 3 2 2" xfId="79"/>
    <cellStyle name="Normal 4 3 2 2 2" xfId="164"/>
    <cellStyle name="Normal 4 3 2 2 3" xfId="229"/>
    <cellStyle name="Normal 4 3 2 2 4" xfId="285"/>
    <cellStyle name="Normal 4 3 2 2 5" xfId="362"/>
    <cellStyle name="Normal 4 3 2 2 6" xfId="430"/>
    <cellStyle name="Normal 4 3 2 3" xfId="102"/>
    <cellStyle name="Normal 4 3 2 4" xfId="199"/>
    <cellStyle name="Normal 4 3 2 5" xfId="255"/>
    <cellStyle name="Normal 4 3 2 6" xfId="327"/>
    <cellStyle name="Normal 4 3 2 7" xfId="400"/>
    <cellStyle name="Normal 4 3 3" xfId="67"/>
    <cellStyle name="Normal 4 3 3 2" xfId="148"/>
    <cellStyle name="Normal 4 3 3 3" xfId="213"/>
    <cellStyle name="Normal 4 3 3 4" xfId="269"/>
    <cellStyle name="Normal 4 3 3 5" xfId="346"/>
    <cellStyle name="Normal 4 3 3 6" xfId="414"/>
    <cellStyle name="Normal 4 3 4" xfId="153"/>
    <cellStyle name="Normal 4 3 4 2" xfId="218"/>
    <cellStyle name="Normal 4 3 4 3" xfId="274"/>
    <cellStyle name="Normal 4 3 4 4" xfId="351"/>
    <cellStyle name="Normal 4 3 4 5" xfId="419"/>
    <cellStyle name="Normal 4 3 5" xfId="159"/>
    <cellStyle name="Normal 4 3 5 2" xfId="224"/>
    <cellStyle name="Normal 4 3 5 3" xfId="280"/>
    <cellStyle name="Normal 4 3 5 4" xfId="357"/>
    <cellStyle name="Normal 4 3 5 5" xfId="425"/>
    <cellStyle name="Normal 4 3 6" xfId="89"/>
    <cellStyle name="Normal 4 3 7" xfId="187"/>
    <cellStyle name="Normal 4 3 8" xfId="243"/>
    <cellStyle name="Normal 4 3 9" xfId="315"/>
    <cellStyle name="Normal 4 3_MAL2T-2014A.XLS" xfId="173"/>
    <cellStyle name="Normal 4 4" xfId="26"/>
    <cellStyle name="Normal 4 4 2" xfId="49"/>
    <cellStyle name="Normal 4 4 2 2" xfId="81"/>
    <cellStyle name="Normal 4 4 2 2 2" xfId="306"/>
    <cellStyle name="Normal 4 4 2 2 3" xfId="374"/>
    <cellStyle name="Normal 4 4 2 3" xfId="104"/>
    <cellStyle name="Normal 4 4 2 4" xfId="201"/>
    <cellStyle name="Normal 4 4 2 5" xfId="257"/>
    <cellStyle name="Normal 4 4 2 6" xfId="329"/>
    <cellStyle name="Normal 4 4 2 7" xfId="402"/>
    <cellStyle name="Normal 4 4 3" xfId="68"/>
    <cellStyle name="Normal 4 4 3 2" xfId="305"/>
    <cellStyle name="Normal 4 4 3 3" xfId="343"/>
    <cellStyle name="Normal 4 4 4" xfId="90"/>
    <cellStyle name="Normal 4 4 5" xfId="188"/>
    <cellStyle name="Normal 4 4 6" xfId="244"/>
    <cellStyle name="Normal 4 4 7" xfId="316"/>
    <cellStyle name="Normal 4 4 8" xfId="389"/>
    <cellStyle name="Normal 4 5" xfId="32"/>
    <cellStyle name="Normal 4 5 2" xfId="72"/>
    <cellStyle name="Normal 4 5 2 2" xfId="298"/>
    <cellStyle name="Normal 4 5 2 3" xfId="372"/>
    <cellStyle name="Normal 4 5 3" xfId="95"/>
    <cellStyle name="Normal 4 5 4" xfId="192"/>
    <cellStyle name="Normal 4 5 5" xfId="248"/>
    <cellStyle name="Normal 4 5 6" xfId="320"/>
    <cellStyle name="Normal 4 5 7" xfId="393"/>
    <cellStyle name="Normal 4 6" xfId="62"/>
    <cellStyle name="Normal 4 6 2" xfId="149"/>
    <cellStyle name="Normal 4 6 3" xfId="214"/>
    <cellStyle name="Normal 4 6 4" xfId="270"/>
    <cellStyle name="Normal 4 6 5" xfId="347"/>
    <cellStyle name="Normal 4 6 6" xfId="415"/>
    <cellStyle name="Normal 4 7" xfId="160"/>
    <cellStyle name="Normal 4 7 2" xfId="225"/>
    <cellStyle name="Normal 4 7 3" xfId="281"/>
    <cellStyle name="Normal 4 7 4" xfId="358"/>
    <cellStyle name="Normal 4 7 5" xfId="426"/>
    <cellStyle name="Normal 4 8" xfId="168"/>
    <cellStyle name="Normal 4 8 2" xfId="233"/>
    <cellStyle name="Normal 4 8 3" xfId="289"/>
    <cellStyle name="Normal 4 8 4" xfId="366"/>
    <cellStyle name="Normal 4 8 5" xfId="434"/>
    <cellStyle name="Normal 4 9" xfId="154"/>
    <cellStyle name="Normal 4 9 2" xfId="219"/>
    <cellStyle name="Normal 4 9 3" xfId="275"/>
    <cellStyle name="Normal 4 9 4" xfId="352"/>
    <cellStyle name="Normal 4 9 5" xfId="420"/>
    <cellStyle name="Normal 4_MAL1K-2014A.XLS" xfId="39"/>
    <cellStyle name="Normal 5" xfId="16"/>
    <cellStyle name="Normal 5 2" xfId="29"/>
    <cellStyle name="Normal 5 2 2" xfId="53"/>
    <cellStyle name="Normal 5 2 2 2" xfId="134"/>
    <cellStyle name="Normal 5 2 3" xfId="142"/>
    <cellStyle name="Normal 5 2 3 2" xfId="177"/>
    <cellStyle name="Normal 5 2 4" xfId="109"/>
    <cellStyle name="Normal 5 2 4 2" xfId="205"/>
    <cellStyle name="Normal 5 2 4 3" xfId="261"/>
    <cellStyle name="Normal 5 2 4 4" xfId="333"/>
    <cellStyle name="Normal 5 2 4 5" xfId="406"/>
    <cellStyle name="Normal 5 3" xfId="36"/>
    <cellStyle name="Normal 5 4" xfId="45"/>
    <cellStyle name="Normal 5 4 2" xfId="77"/>
    <cellStyle name="Normal 5 4 2 2" xfId="295"/>
    <cellStyle name="Normal 5 4 2 3" xfId="378"/>
    <cellStyle name="Normal 5 4 3" xfId="100"/>
    <cellStyle name="Normal 5 4 4" xfId="197"/>
    <cellStyle name="Normal 5 4 5" xfId="253"/>
    <cellStyle name="Normal 5 4 6" xfId="325"/>
    <cellStyle name="Normal 5 4 7" xfId="398"/>
    <cellStyle name="Normal 5 5" xfId="51"/>
    <cellStyle name="Normal 5 5 2" xfId="130"/>
    <cellStyle name="Normal 5 6" xfId="141"/>
    <cellStyle name="Normal 5 6 2" xfId="175"/>
    <cellStyle name="Normal 6" xfId="40"/>
    <cellStyle name="Normal 6 2" xfId="54"/>
    <cellStyle name="Normal 6 2 2" xfId="113"/>
    <cellStyle name="Normal 6 2 3" xfId="208"/>
    <cellStyle name="Normal 6 2 4" xfId="264"/>
    <cellStyle name="Normal 6 2 5" xfId="336"/>
    <cellStyle name="Normal 6 2 6" xfId="342"/>
    <cellStyle name="Normal 6 2 7" xfId="409"/>
    <cellStyle name="Normal 6 3" xfId="135"/>
    <cellStyle name="Normal 6 4" xfId="143"/>
    <cellStyle name="Normal 6 4 2" xfId="92"/>
    <cellStyle name="Normal 6 5" xfId="106"/>
    <cellStyle name="Normal 6 5 2" xfId="203"/>
    <cellStyle name="Normal 6 5 3" xfId="259"/>
    <cellStyle name="Normal 6 5 4" xfId="331"/>
    <cellStyle name="Normal 6 5 5" xfId="404"/>
    <cellStyle name="Normal 7" xfId="42"/>
    <cellStyle name="Normal 7 2" xfId="56"/>
    <cellStyle name="Normal 7 2 2" xfId="137"/>
    <cellStyle name="Normal 7 3" xfId="145"/>
    <cellStyle name="Normal 7 3 2" xfId="176"/>
    <cellStyle name="Normal 7 4" xfId="111"/>
    <cellStyle name="Normal 7 4 2" xfId="207"/>
    <cellStyle name="Normal 7 4 3" xfId="263"/>
    <cellStyle name="Normal 7 4 4" xfId="335"/>
    <cellStyle name="Normal 7 4 5" xfId="408"/>
    <cellStyle name="Normal 8" xfId="43"/>
    <cellStyle name="Normal 8 2" xfId="57"/>
    <cellStyle name="Normal 8 2 2" xfId="127"/>
    <cellStyle name="Normal 8 2 3" xfId="375"/>
    <cellStyle name="Normal 8 3" xfId="125"/>
    <cellStyle name="Normal 8 4" xfId="138"/>
    <cellStyle name="Normal 8 5" xfId="146"/>
    <cellStyle name="Normal 8 5 2" xfId="174"/>
    <cellStyle name="Normal 8 6" xfId="116"/>
    <cellStyle name="Normal 9" xfId="41"/>
    <cellStyle name="Normal 9 2" xfId="55"/>
    <cellStyle name="Normal 9 2 2" xfId="136"/>
    <cellStyle name="Normal 9 3" xfId="144"/>
    <cellStyle name="Normal 9 3 2" xfId="179"/>
    <cellStyle name="Normal 9 4" xfId="115"/>
    <cellStyle name="Normal 9 4 2" xfId="210"/>
    <cellStyle name="Normal 9 4 3" xfId="266"/>
    <cellStyle name="Normal 9 4 4" xfId="338"/>
    <cellStyle name="Normal 9 4 5" xfId="411"/>
    <cellStyle name="Normal_IN9813 2" xfId="59"/>
    <cellStyle name="Normal_IN9828" xfId="7"/>
    <cellStyle name="Normal_SO02ny 2" xfId="60"/>
    <cellStyle name="Prosent" xfId="2" builtinId="5" customBuiltin="1"/>
    <cellStyle name="Prosent 10" xfId="317"/>
    <cellStyle name="Prosent 11" xfId="390"/>
    <cellStyle name="Prosent 13" xfId="438"/>
    <cellStyle name="Prosent 2" xfId="5"/>
    <cellStyle name="Prosent 2 2" xfId="23"/>
    <cellStyle name="Prosent 2 2 10" xfId="241"/>
    <cellStyle name="Prosent 2 2 11" xfId="313"/>
    <cellStyle name="Prosent 2 2 12" xfId="386"/>
    <cellStyle name="Prosent 2 2 2" xfId="31"/>
    <cellStyle name="Prosent 2 2 2 2" xfId="71"/>
    <cellStyle name="Prosent 2 2 2 2 2" xfId="167"/>
    <cellStyle name="Prosent 2 2 2 2 3" xfId="232"/>
    <cellStyle name="Prosent 2 2 2 2 4" xfId="288"/>
    <cellStyle name="Prosent 2 2 2 2 5" xfId="365"/>
    <cellStyle name="Prosent 2 2 2 2 6" xfId="433"/>
    <cellStyle name="Prosent 2 2 2 3" xfId="94"/>
    <cellStyle name="Prosent 2 2 2 4" xfId="191"/>
    <cellStyle name="Prosent 2 2 2 5" xfId="247"/>
    <cellStyle name="Prosent 2 2 2 6" xfId="319"/>
    <cellStyle name="Prosent 2 2 2 7" xfId="392"/>
    <cellStyle name="Prosent 2 2 3" xfId="35"/>
    <cellStyle name="Prosent 2 2 3 2" xfId="75"/>
    <cellStyle name="Prosent 2 2 3 2 2" xfId="296"/>
    <cellStyle name="Prosent 2 2 3 2 3" xfId="373"/>
    <cellStyle name="Prosent 2 2 3 3" xfId="98"/>
    <cellStyle name="Prosent 2 2 3 4" xfId="195"/>
    <cellStyle name="Prosent 2 2 3 5" xfId="251"/>
    <cellStyle name="Prosent 2 2 3 6" xfId="323"/>
    <cellStyle name="Prosent 2 2 3 7" xfId="396"/>
    <cellStyle name="Prosent 2 2 4" xfId="65"/>
    <cellStyle name="Prosent 2 2 4 2" xfId="132"/>
    <cellStyle name="Prosent 2 2 4 3" xfId="211"/>
    <cellStyle name="Prosent 2 2 4 4" xfId="267"/>
    <cellStyle name="Prosent 2 2 4 5" xfId="340"/>
    <cellStyle name="Prosent 2 2 4 6" xfId="412"/>
    <cellStyle name="Prosent 2 2 5" xfId="117"/>
    <cellStyle name="Prosent 2 2 5 2" xfId="163"/>
    <cellStyle name="Prosent 2 2 5 2 2" xfId="228"/>
    <cellStyle name="Prosent 2 2 5 2 3" xfId="284"/>
    <cellStyle name="Prosent 2 2 5 2 4" xfId="361"/>
    <cellStyle name="Prosent 2 2 5 2 5" xfId="429"/>
    <cellStyle name="Prosent 2 2 6" xfId="171"/>
    <cellStyle name="Prosent 2 2 6 2" xfId="236"/>
    <cellStyle name="Prosent 2 2 6 3" xfId="292"/>
    <cellStyle name="Prosent 2 2 6 4" xfId="369"/>
    <cellStyle name="Prosent 2 2 6 5" xfId="437"/>
    <cellStyle name="Prosent 2 2 7" xfId="157"/>
    <cellStyle name="Prosent 2 2 7 2" xfId="222"/>
    <cellStyle name="Prosent 2 2 7 3" xfId="278"/>
    <cellStyle name="Prosent 2 2 7 4" xfId="355"/>
    <cellStyle name="Prosent 2 2 7 5" xfId="423"/>
    <cellStyle name="Prosent 2 2 8" xfId="87"/>
    <cellStyle name="Prosent 2 2 9" xfId="185"/>
    <cellStyle name="Prosent 2 3" xfId="24"/>
    <cellStyle name="Prosent 2 3 10" xfId="387"/>
    <cellStyle name="Prosent 2 3 2" xfId="48"/>
    <cellStyle name="Prosent 2 3 2 2" xfId="80"/>
    <cellStyle name="Prosent 2 3 2 2 2" xfId="165"/>
    <cellStyle name="Prosent 2 3 2 2 3" xfId="230"/>
    <cellStyle name="Prosent 2 3 2 2 4" xfId="286"/>
    <cellStyle name="Prosent 2 3 2 2 5" xfId="363"/>
    <cellStyle name="Prosent 2 3 2 2 6" xfId="431"/>
    <cellStyle name="Prosent 2 3 2 3" xfId="103"/>
    <cellStyle name="Prosent 2 3 2 4" xfId="200"/>
    <cellStyle name="Prosent 2 3 2 5" xfId="256"/>
    <cellStyle name="Prosent 2 3 2 6" xfId="328"/>
    <cellStyle name="Prosent 2 3 2 7" xfId="401"/>
    <cellStyle name="Prosent 2 3 3" xfId="66"/>
    <cellStyle name="Prosent 2 3 3 2" xfId="133"/>
    <cellStyle name="Prosent 2 3 3 3" xfId="212"/>
    <cellStyle name="Prosent 2 3 3 4" xfId="268"/>
    <cellStyle name="Prosent 2 3 3 5" xfId="341"/>
    <cellStyle name="Prosent 2 3 3 6" xfId="413"/>
    <cellStyle name="Prosent 2 3 4" xfId="119"/>
    <cellStyle name="Prosent 2 3 4 2" xfId="152"/>
    <cellStyle name="Prosent 2 3 4 2 2" xfId="217"/>
    <cellStyle name="Prosent 2 3 4 2 3" xfId="273"/>
    <cellStyle name="Prosent 2 3 4 2 4" xfId="350"/>
    <cellStyle name="Prosent 2 3 4 2 5" xfId="418"/>
    <cellStyle name="Prosent 2 3 5" xfId="158"/>
    <cellStyle name="Prosent 2 3 5 2" xfId="223"/>
    <cellStyle name="Prosent 2 3 5 3" xfId="279"/>
    <cellStyle name="Prosent 2 3 5 4" xfId="356"/>
    <cellStyle name="Prosent 2 3 5 5" xfId="424"/>
    <cellStyle name="Prosent 2 3 6" xfId="88"/>
    <cellStyle name="Prosent 2 3 7" xfId="186"/>
    <cellStyle name="Prosent 2 3 8" xfId="242"/>
    <cellStyle name="Prosent 2 3 9" xfId="314"/>
    <cellStyle name="Prosent 2 4" xfId="21"/>
    <cellStyle name="Prosent 2 4 2" xfId="50"/>
    <cellStyle name="Prosent 2 4 2 2" xfId="82"/>
    <cellStyle name="Prosent 2 4 2 2 2" xfId="293"/>
    <cellStyle name="Prosent 2 4 2 2 3" xfId="380"/>
    <cellStyle name="Prosent 2 4 2 3" xfId="105"/>
    <cellStyle name="Prosent 2 4 2 4" xfId="202"/>
    <cellStyle name="Prosent 2 4 2 5" xfId="258"/>
    <cellStyle name="Prosent 2 4 2 6" xfId="330"/>
    <cellStyle name="Prosent 2 4 2 7" xfId="403"/>
    <cellStyle name="Prosent 2 4 3" xfId="63"/>
    <cellStyle name="Prosent 2 4 3 2" xfId="304"/>
    <cellStyle name="Prosent 2 4 3 3" xfId="377"/>
    <cellStyle name="Prosent 2 4 4" xfId="85"/>
    <cellStyle name="Prosent 2 4 5" xfId="183"/>
    <cellStyle name="Prosent 2 4 6" xfId="239"/>
    <cellStyle name="Prosent 2 4 7" xfId="311"/>
    <cellStyle name="Prosent 2 4 8" xfId="384"/>
    <cellStyle name="Prosent 2 5" xfId="28"/>
    <cellStyle name="Prosent 2 5 2" xfId="33"/>
    <cellStyle name="Prosent 2 5 2 2" xfId="73"/>
    <cellStyle name="Prosent 2 5 2 2 2" xfId="303"/>
    <cellStyle name="Prosent 2 5 2 2 3" xfId="309"/>
    <cellStyle name="Prosent 2 5 2 3" xfId="96"/>
    <cellStyle name="Prosent 2 5 2 4" xfId="193"/>
    <cellStyle name="Prosent 2 5 2 5" xfId="249"/>
    <cellStyle name="Prosent 2 5 2 6" xfId="321"/>
    <cellStyle name="Prosent 2 5 2 7" xfId="394"/>
    <cellStyle name="Prosent 2 6" xfId="14"/>
    <cellStyle name="Prosent 2 6 2" xfId="150"/>
    <cellStyle name="Prosent 2 6 3" xfId="215"/>
    <cellStyle name="Prosent 2 6 4" xfId="271"/>
    <cellStyle name="Prosent 2 6 5" xfId="348"/>
    <cellStyle name="Prosent 2 6 6" xfId="416"/>
    <cellStyle name="Prosent 2 7" xfId="161"/>
    <cellStyle name="Prosent 2 7 2" xfId="226"/>
    <cellStyle name="Prosent 2 7 3" xfId="282"/>
    <cellStyle name="Prosent 2 7 4" xfId="359"/>
    <cellStyle name="Prosent 2 7 5" xfId="427"/>
    <cellStyle name="Prosent 2 8" xfId="169"/>
    <cellStyle name="Prosent 2 8 2" xfId="234"/>
    <cellStyle name="Prosent 2 8 3" xfId="290"/>
    <cellStyle name="Prosent 2 8 4" xfId="367"/>
    <cellStyle name="Prosent 2 8 5" xfId="435"/>
    <cellStyle name="Prosent 2 9" xfId="155"/>
    <cellStyle name="Prosent 2 9 2" xfId="220"/>
    <cellStyle name="Prosent 2 9 3" xfId="276"/>
    <cellStyle name="Prosent 2 9 4" xfId="353"/>
    <cellStyle name="Prosent 2 9 5" xfId="421"/>
    <cellStyle name="Prosent 3" xfId="11"/>
    <cellStyle name="Prosent 3 2" xfId="46"/>
    <cellStyle name="Prosent 3 2 2" xfId="78"/>
    <cellStyle name="Prosent 3 2 2 2" xfId="302"/>
    <cellStyle name="Prosent 3 2 2 3" xfId="371"/>
    <cellStyle name="Prosent 3 2 3" xfId="101"/>
    <cellStyle name="Prosent 3 2 4" xfId="198"/>
    <cellStyle name="Prosent 3 2 5" xfId="254"/>
    <cellStyle name="Prosent 3 2 6" xfId="326"/>
    <cellStyle name="Prosent 3 2 7" xfId="399"/>
    <cellStyle name="Prosent 4" xfId="17"/>
    <cellStyle name="Prosent 5" xfId="27"/>
    <cellStyle name="Prosent 5 2" xfId="294"/>
    <cellStyle name="Prosent 5 3" xfId="344"/>
    <cellStyle name="Prosent 6" xfId="69"/>
    <cellStyle name="Prosent 6 2" xfId="301"/>
    <cellStyle name="Prosent 6 3" xfId="339"/>
    <cellStyle name="Prosent 7" xfId="91"/>
    <cellStyle name="Prosent 8" xfId="189"/>
    <cellStyle name="Prosent 9" xfId="245"/>
    <cellStyle name="Svein" xfId="6"/>
    <cellStyle name="Svein 2" xfId="12"/>
    <cellStyle name="Svein 3" xfId="122"/>
    <cellStyle name="Tusen[0]" xfId="123"/>
    <cellStyle name="Tusenskille 2" xfId="112"/>
    <cellStyle name="Tusenskille 2 2" xfId="126"/>
    <cellStyle name="Tusenskille 2 3" xfId="124"/>
    <cellStyle name="Tusenskille 3" xfId="8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38103</xdr:colOff>
      <xdr:row>7</xdr:row>
      <xdr:rowOff>142875</xdr:rowOff>
    </xdr:from>
    <xdr:ext cx="1581153" cy="211930"/>
    <xdr:sp macro="" textlink="">
      <xdr:nvSpPr>
        <xdr:cNvPr id="2" name="AutoShape 13"/>
        <xdr:cNvSpPr/>
      </xdr:nvSpPr>
      <xdr:spPr>
        <a:xfrm>
          <a:off x="38103" y="1971675"/>
          <a:ext cx="1581153" cy="211930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SUM-tabell</a:t>
          </a:r>
        </a:p>
      </xdr:txBody>
    </xdr:sp>
    <xdr:clientData/>
  </xdr:oneCellAnchor>
  <xdr:oneCellAnchor>
    <xdr:from>
      <xdr:col>9</xdr:col>
      <xdr:colOff>0</xdr:colOff>
      <xdr:row>8</xdr:row>
      <xdr:rowOff>133346</xdr:rowOff>
    </xdr:from>
    <xdr:ext cx="0" cy="0"/>
    <xdr:sp macro="" textlink="">
      <xdr:nvSpPr>
        <xdr:cNvPr id="4" name="Line 31"/>
        <xdr:cNvSpPr/>
      </xdr:nvSpPr>
      <xdr:spPr>
        <a:xfrm>
          <a:off x="9134475" y="211454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val f6"/>
            <a:gd name="f13" fmla="*/ f7 f0 1"/>
            <a:gd name="f14" fmla="*/ f8 f0 1"/>
            <a:gd name="f15" fmla="?: f9 f3 1"/>
            <a:gd name="f16" fmla="?: f10 f4 1"/>
            <a:gd name="f17" fmla="?: f11 f5 1"/>
            <a:gd name="f18" fmla="*/ f13 1 f2"/>
            <a:gd name="f19" fmla="*/ f14 1 f2"/>
            <a:gd name="f20" fmla="*/ f15 1 21600"/>
            <a:gd name="f21" fmla="*/ f16 1 21600"/>
            <a:gd name="f22" fmla="*/ 21600 f15 1"/>
            <a:gd name="f23" fmla="*/ 21600 f16 1"/>
            <a:gd name="f24" fmla="+- f18 0 f1"/>
            <a:gd name="f25" fmla="+- f19 0 f1"/>
            <a:gd name="f26" fmla="min f21 f20"/>
            <a:gd name="f27" fmla="*/ f22 1 f17"/>
            <a:gd name="f28" fmla="*/ f23 1 f17"/>
            <a:gd name="f29" fmla="val f27"/>
            <a:gd name="f30" fmla="val f28"/>
            <a:gd name="f31" fmla="*/ f6 f26 1"/>
            <a:gd name="f32" fmla="*/ f27 f26 1"/>
            <a:gd name="f33" fmla="*/ f28 f26 1"/>
            <a:gd name="f34" fmla="*/ f12 f26 1"/>
            <a:gd name="f35" fmla="*/ f29 f26 1"/>
            <a:gd name="f36" fmla="*/ f30 f26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4">
              <a:pos x="f34" y="f34"/>
            </a:cxn>
            <a:cxn ang="f25">
              <a:pos x="f35" y="f36"/>
            </a:cxn>
          </a:cxnLst>
          <a:rect l="f31" t="f31" r="f32" b="f33"/>
          <a:pathLst>
            <a:path>
              <a:moveTo>
                <a:pt x="f34" y="f34"/>
              </a:moveTo>
              <a:lnTo>
                <a:pt x="f35" y="f36"/>
              </a:lnTo>
            </a:path>
          </a:pathLst>
        </a:custGeom>
        <a:noFill/>
        <a:ln w="9528">
          <a:solidFill>
            <a:srgbClr val="000000"/>
          </a:solidFill>
          <a:prstDash val="solid"/>
          <a:round/>
          <a:tailEnd type="arrow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8</xdr:row>
      <xdr:rowOff>0</xdr:rowOff>
    </xdr:from>
    <xdr:to>
      <xdr:col>31</xdr:col>
      <xdr:colOff>589618</xdr:colOff>
      <xdr:row>25</xdr:row>
      <xdr:rowOff>104334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97450" y="2028825"/>
          <a:ext cx="7447619" cy="3523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112</xdr:row>
      <xdr:rowOff>0</xdr:rowOff>
    </xdr:from>
    <xdr:ext cx="1719446" cy="210293"/>
    <xdr:sp macro="" textlink="">
      <xdr:nvSpPr>
        <xdr:cNvPr id="7" name="Avrundet rektangel 1"/>
        <xdr:cNvSpPr/>
      </xdr:nvSpPr>
      <xdr:spPr>
        <a:xfrm>
          <a:off x="0" y="22974300"/>
          <a:ext cx="1719446" cy="210293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79646"/>
        </a:solidFill>
        <a:ln w="25402">
          <a:solidFill>
            <a:srgbClr val="B66D31"/>
          </a:solidFill>
          <a:prstDash val="solid"/>
        </a:ln>
      </xdr:spPr>
      <xdr:txBody>
        <a:bodyPr vert="horz" wrap="square" lIns="91440" tIns="45720" rIns="91440" bIns="45720" anchor="ctr" anchorCtr="1" compatLnSpc="0"/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100" b="0" i="0" u="none" strike="noStrike" kern="0" cap="none" spc="0" baseline="0">
              <a:solidFill>
                <a:srgbClr val="FFFFFF"/>
              </a:solidFill>
              <a:uFillTx/>
              <a:latin typeface="Calibri"/>
            </a:rPr>
            <a:t>SUMMERINGSTABELL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102</xdr:row>
      <xdr:rowOff>9320</xdr:rowOff>
    </xdr:from>
    <xdr:to>
      <xdr:col>24</xdr:col>
      <xdr:colOff>241936</xdr:colOff>
      <xdr:row>125</xdr:row>
      <xdr:rowOff>137485</xdr:rowOff>
    </xdr:to>
    <xdr:pic>
      <xdr:nvPicPr>
        <xdr:cNvPr id="6" name="Bild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5226460"/>
          <a:ext cx="13327380" cy="345810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71</xdr:row>
      <xdr:rowOff>135864</xdr:rowOff>
    </xdr:from>
    <xdr:to>
      <xdr:col>24</xdr:col>
      <xdr:colOff>257176</xdr:colOff>
      <xdr:row>95</xdr:row>
      <xdr:rowOff>315</xdr:rowOff>
    </xdr:to>
    <xdr:pic>
      <xdr:nvPicPr>
        <xdr:cNvPr id="7" name="Bild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0864824"/>
          <a:ext cx="13342620" cy="33391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234945</xdr:colOff>
      <xdr:row>13</xdr:row>
      <xdr:rowOff>38103</xdr:rowOff>
    </xdr:from>
    <xdr:ext cx="1654177" cy="431797"/>
    <xdr:sp macro="" textlink="">
      <xdr:nvSpPr>
        <xdr:cNvPr id="2" name="AutoShape 3"/>
        <xdr:cNvSpPr/>
      </xdr:nvSpPr>
      <xdr:spPr>
        <a:xfrm>
          <a:off x="234945" y="2019303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  <xdr:oneCellAnchor>
    <xdr:from>
      <xdr:col>0</xdr:col>
      <xdr:colOff>0</xdr:colOff>
      <xdr:row>291</xdr:row>
      <xdr:rowOff>0</xdr:rowOff>
    </xdr:from>
    <xdr:ext cx="1654177" cy="431797"/>
    <xdr:sp macro="" textlink="">
      <xdr:nvSpPr>
        <xdr:cNvPr id="3" name="AutoShape 3"/>
        <xdr:cNvSpPr/>
      </xdr:nvSpPr>
      <xdr:spPr>
        <a:xfrm>
          <a:off x="0" y="61044667"/>
          <a:ext cx="1654177" cy="431797"/>
        </a:xfrm>
        <a:custGeom>
          <a:avLst>
            <a:gd name="f0" fmla="val 3600"/>
          </a:avLst>
          <a:gdLst>
            <a:gd name="f1" fmla="val 10800000"/>
            <a:gd name="f2" fmla="val 5400000"/>
            <a:gd name="f3" fmla="val 16200000"/>
            <a:gd name="f4" fmla="val w"/>
            <a:gd name="f5" fmla="val h"/>
            <a:gd name="f6" fmla="val ss"/>
            <a:gd name="f7" fmla="val 0"/>
            <a:gd name="f8" fmla="*/ 5419351 1 1725033"/>
            <a:gd name="f9" fmla="val 45"/>
            <a:gd name="f10" fmla="val 10800"/>
            <a:gd name="f11" fmla="val -2147483647"/>
            <a:gd name="f12" fmla="val 2147483647"/>
            <a:gd name="f13" fmla="abs f4"/>
            <a:gd name="f14" fmla="abs f5"/>
            <a:gd name="f15" fmla="abs f6"/>
            <a:gd name="f16" fmla="*/ f8 1 180"/>
            <a:gd name="f17" fmla="pin 0 f0 10800"/>
            <a:gd name="f18" fmla="+- 0 0 f2"/>
            <a:gd name="f19" fmla="?: f13 f4 1"/>
            <a:gd name="f20" fmla="?: f14 f5 1"/>
            <a:gd name="f21" fmla="?: f15 f6 1"/>
            <a:gd name="f22" fmla="*/ f9 f16 1"/>
            <a:gd name="f23" fmla="+- f7 f17 0"/>
            <a:gd name="f24" fmla="*/ f19 1 21600"/>
            <a:gd name="f25" fmla="*/ f20 1 21600"/>
            <a:gd name="f26" fmla="*/ 21600 f19 1"/>
            <a:gd name="f27" fmla="*/ 21600 f20 1"/>
            <a:gd name="f28" fmla="+- 0 0 f22"/>
            <a:gd name="f29" fmla="min f25 f24"/>
            <a:gd name="f30" fmla="*/ f26 1 f21"/>
            <a:gd name="f31" fmla="*/ f27 1 f21"/>
            <a:gd name="f32" fmla="*/ f28 f1 1"/>
            <a:gd name="f33" fmla="*/ f32 1 f8"/>
            <a:gd name="f34" fmla="+- f31 0 f17"/>
            <a:gd name="f35" fmla="+- f30 0 f17"/>
            <a:gd name="f36" fmla="*/ f17 f29 1"/>
            <a:gd name="f37" fmla="*/ f7 f29 1"/>
            <a:gd name="f38" fmla="*/ f23 f29 1"/>
            <a:gd name="f39" fmla="*/ f31 f29 1"/>
            <a:gd name="f40" fmla="*/ f30 f29 1"/>
            <a:gd name="f41" fmla="+- f33 0 f2"/>
            <a:gd name="f42" fmla="+- f37 0 f38"/>
            <a:gd name="f43" fmla="+- f38 0 f37"/>
            <a:gd name="f44" fmla="*/ f34 f29 1"/>
            <a:gd name="f45" fmla="*/ f35 f29 1"/>
            <a:gd name="f46" fmla="cos 1 f41"/>
            <a:gd name="f47" fmla="abs f42"/>
            <a:gd name="f48" fmla="abs f43"/>
            <a:gd name="f49" fmla="?: f42 f18 f2"/>
            <a:gd name="f50" fmla="?: f42 f2 f18"/>
            <a:gd name="f51" fmla="?: f42 f3 f2"/>
            <a:gd name="f52" fmla="?: f42 f2 f3"/>
            <a:gd name="f53" fmla="+- f39 0 f44"/>
            <a:gd name="f54" fmla="?: f43 f18 f2"/>
            <a:gd name="f55" fmla="?: f43 f2 f18"/>
            <a:gd name="f56" fmla="+- f40 0 f45"/>
            <a:gd name="f57" fmla="+- f44 0 f39"/>
            <a:gd name="f58" fmla="+- f45 0 f40"/>
            <a:gd name="f59" fmla="?: f42 0 f1"/>
            <a:gd name="f60" fmla="?: f42 f1 0"/>
            <a:gd name="f61" fmla="+- 0 0 f46"/>
            <a:gd name="f62" fmla="?: f42 f52 f51"/>
            <a:gd name="f63" fmla="?: f42 f51 f52"/>
            <a:gd name="f64" fmla="?: f43 f50 f49"/>
            <a:gd name="f65" fmla="abs f53"/>
            <a:gd name="f66" fmla="?: f53 0 f1"/>
            <a:gd name="f67" fmla="?: f53 f1 0"/>
            <a:gd name="f68" fmla="?: f53 f54 f55"/>
            <a:gd name="f69" fmla="abs f56"/>
            <a:gd name="f70" fmla="abs f57"/>
            <a:gd name="f71" fmla="?: f56 f18 f2"/>
            <a:gd name="f72" fmla="?: f56 f2 f18"/>
            <a:gd name="f73" fmla="?: f56 f3 f2"/>
            <a:gd name="f74" fmla="?: f56 f2 f3"/>
            <a:gd name="f75" fmla="abs f58"/>
            <a:gd name="f76" fmla="?: f58 f18 f2"/>
            <a:gd name="f77" fmla="?: f58 f2 f18"/>
            <a:gd name="f78" fmla="?: f58 f60 f59"/>
            <a:gd name="f79" fmla="?: f58 f59 f60"/>
            <a:gd name="f80" fmla="*/ f17 f61 1"/>
            <a:gd name="f81" fmla="?: f43 f63 f62"/>
            <a:gd name="f82" fmla="?: f43 f67 f66"/>
            <a:gd name="f83" fmla="?: f43 f66 f67"/>
            <a:gd name="f84" fmla="?: f56 f74 f73"/>
            <a:gd name="f85" fmla="?: f56 f73 f74"/>
            <a:gd name="f86" fmla="?: f57 f72 f71"/>
            <a:gd name="f87" fmla="?: f42 f78 f79"/>
            <a:gd name="f88" fmla="?: f42 f76 f77"/>
            <a:gd name="f89" fmla="*/ f80 3163 1"/>
            <a:gd name="f90" fmla="?: f53 f82 f83"/>
            <a:gd name="f91" fmla="?: f57 f85 f84"/>
            <a:gd name="f92" fmla="*/ f89 1 7636"/>
            <a:gd name="f93" fmla="+- f7 f92 0"/>
            <a:gd name="f94" fmla="+- f30 0 f92"/>
            <a:gd name="f95" fmla="+- f31 0 f92"/>
            <a:gd name="f96" fmla="*/ f93 f29 1"/>
            <a:gd name="f97" fmla="*/ f94 f29 1"/>
            <a:gd name="f98" fmla="*/ f95 f29 1"/>
          </a:gdLst>
          <a:ahLst>
            <a:ahXY gdRefX="f0" minX="f7" maxX="f10">
              <a:pos x="f36" y="f37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96" t="f96" r="f97" b="f98"/>
          <a:pathLst>
            <a:path>
              <a:moveTo>
                <a:pt x="f38" y="f37"/>
              </a:moveTo>
              <a:arcTo wR="f47" hR="f48" stAng="f81" swAng="f64"/>
              <a:lnTo>
                <a:pt x="f37" y="f44"/>
              </a:lnTo>
              <a:arcTo wR="f48" hR="f65" stAng="f90" swAng="f68"/>
              <a:lnTo>
                <a:pt x="f45" y="f39"/>
              </a:lnTo>
              <a:arcTo wR="f69" hR="f70" stAng="f91" swAng="f86"/>
              <a:lnTo>
                <a:pt x="f40" y="f38"/>
              </a:lnTo>
              <a:arcTo wR="f75" hR="f47" stAng="f87" swAng="f88"/>
              <a:close/>
            </a:path>
          </a:pathLst>
        </a:custGeom>
        <a:solidFill>
          <a:srgbClr val="FFFF00"/>
        </a:solidFill>
        <a:ln w="9528">
          <a:solidFill>
            <a:srgbClr val="000000"/>
          </a:solidFill>
          <a:prstDash val="solid"/>
          <a:round/>
        </a:ln>
      </xdr:spPr>
      <xdr:txBody>
        <a:bodyPr vert="horz" wrap="square" lIns="27432" tIns="22860" rIns="0" bIns="0" anchor="t" anchorCtr="0" compatLnSpc="0"/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nb-NO" sz="1000" b="0" i="0" u="none" strike="noStrike" kern="0" cap="none" spc="0" baseline="0">
              <a:solidFill>
                <a:srgbClr val="000000"/>
              </a:solidFill>
              <a:uFillTx/>
              <a:latin typeface="Arial"/>
              <a:cs typeface="Arial"/>
            </a:rPr>
            <a:t>Summeringstabell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</xdr:colOff>
      <xdr:row>32</xdr:row>
      <xdr:rowOff>32657</xdr:rowOff>
    </xdr:from>
    <xdr:to>
      <xdr:col>8</xdr:col>
      <xdr:colOff>721418</xdr:colOff>
      <xdr:row>55</xdr:row>
      <xdr:rowOff>38394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14" y="5067300"/>
          <a:ext cx="9304804" cy="34020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0" y="4524375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5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" name="Text Box 2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" name="Text Box 3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4"/>
        <xdr:cNvSpPr/>
      </xdr:nvSpPr>
      <xdr:spPr>
        <a:xfrm>
          <a:off x="0" y="452437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0" y="4524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0" y="38481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" name="Text Box 2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" name="Text Box 3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4" name="Text Box 4"/>
        <xdr:cNvSpPr txBox="1">
          <a:spLocks noChangeArrowheads="1"/>
        </xdr:cNvSpPr>
      </xdr:nvSpPr>
      <xdr:spPr bwMode="auto">
        <a:xfrm>
          <a:off x="0" y="41719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5" name="Text Box 2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7" name="Text Box 4"/>
        <xdr:cNvSpPr txBox="1">
          <a:spLocks noChangeArrowheads="1"/>
        </xdr:cNvSpPr>
      </xdr:nvSpPr>
      <xdr:spPr bwMode="auto">
        <a:xfrm>
          <a:off x="0" y="46577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4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5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8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49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50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5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61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63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4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1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3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5" name="Text Box 3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76" name="Text Box 4"/>
        <xdr:cNvSpPr txBox="1">
          <a:spLocks noChangeArrowheads="1"/>
        </xdr:cNvSpPr>
      </xdr:nvSpPr>
      <xdr:spPr bwMode="auto">
        <a:xfrm>
          <a:off x="0" y="404622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7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79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0" y="454914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5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6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4" name="Text Box 2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5" name="Text Box 3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96" name="Text Box 4"/>
        <xdr:cNvSpPr txBox="1">
          <a:spLocks noChangeArrowheads="1"/>
        </xdr:cNvSpPr>
      </xdr:nvSpPr>
      <xdr:spPr bwMode="auto">
        <a:xfrm>
          <a:off x="0" y="404622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7" name="Text Box 2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9" name="Text Box 4"/>
        <xdr:cNvSpPr txBox="1">
          <a:spLocks noChangeArrowheads="1"/>
        </xdr:cNvSpPr>
      </xdr:nvSpPr>
      <xdr:spPr bwMode="auto">
        <a:xfrm>
          <a:off x="0" y="438150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0" name="Text Box 2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1" name="Text Box 3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0" y="488442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4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5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6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7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09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0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1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2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YR\Fiu\Pos\Felles-POS\Bydelsstatistikk\2003\2.%20tertial%202003\Bydelene\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A/Rapportering/2018/Statistikk/&#197;rsstatistikk/Innelvert%20fra%20bydeler/005%20Bydel%20Frogner%203T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itikk%20og%20adm/EHA/Rapportering/2019/&#197;rsberetning/Statistikk/Innlevert%20fra%20bydeler/012%20Bydel%20Alna%20-%20T3-2019MAL-bydel-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arbeid/Seksjon%20for%20eldretjenester/Elisabeth%20Boe/Befolkningsfremskrivning/2020/AGL-%20Kriteriebef2020-Med%20tilleggsinfo%20(uten%20kopling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-2003A_XLS1"/>
      <sheetName val="MAL2T-2003B_XLS1"/>
      <sheetName val="befolkning_pr__1_1_20031"/>
      <sheetName val="befolkn__pr__1_1_2003-korriger1"/>
      <sheetName val="Grønt_hefte-befolk-korr-nye_by1"/>
      <sheetName val="Plantall_2003-alle_bydeler1"/>
      <sheetName val="MAL2T-2003A_XLS2"/>
      <sheetName val="MAL2T-2003A_XLS3"/>
      <sheetName val="MAL2T-2003A_XLS4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2-2018A.XLS"/>
      <sheetName val="MAL2018B.XLS"/>
      <sheetName val="Befolkning pr. 01.01.2018"/>
    </sheetNames>
    <sheetDataSet>
      <sheetData sheetId="0">
        <row r="527">
          <cell r="E527">
            <v>399</v>
          </cell>
          <cell r="G527">
            <v>1787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T3-2019A.XLS"/>
      <sheetName val="MAL2019B.XLS"/>
      <sheetName val="Befolkning pr. 01.01.2019"/>
    </sheetNames>
    <sheetDataSet>
      <sheetData sheetId="0">
        <row r="852">
          <cell r="E852">
            <v>69</v>
          </cell>
        </row>
        <row r="873">
          <cell r="G873">
            <v>149</v>
          </cell>
        </row>
        <row r="875">
          <cell r="G875">
            <v>54</v>
          </cell>
        </row>
        <row r="876">
          <cell r="G876">
            <v>10</v>
          </cell>
        </row>
        <row r="877">
          <cell r="G877">
            <v>21</v>
          </cell>
        </row>
        <row r="878">
          <cell r="G878">
            <v>64</v>
          </cell>
        </row>
        <row r="879">
          <cell r="G879">
            <v>149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C5">
            <v>962</v>
          </cell>
          <cell r="D5">
            <v>3618</v>
          </cell>
          <cell r="E5">
            <v>3365</v>
          </cell>
          <cell r="F5">
            <v>1056</v>
          </cell>
          <cell r="G5">
            <v>639</v>
          </cell>
          <cell r="H5">
            <v>717</v>
          </cell>
          <cell r="I5">
            <v>3705</v>
          </cell>
          <cell r="J5">
            <v>8350</v>
          </cell>
          <cell r="K5">
            <v>15878</v>
          </cell>
          <cell r="L5">
            <v>8580</v>
          </cell>
          <cell r="M5">
            <v>8299</v>
          </cell>
          <cell r="N5">
            <v>2150</v>
          </cell>
          <cell r="O5">
            <v>665</v>
          </cell>
          <cell r="P5">
            <v>325</v>
          </cell>
          <cell r="Q5">
            <v>200</v>
          </cell>
          <cell r="R5">
            <v>111</v>
          </cell>
          <cell r="S5">
            <v>51</v>
          </cell>
        </row>
        <row r="6">
          <cell r="C6">
            <v>1034</v>
          </cell>
          <cell r="D6">
            <v>3319</v>
          </cell>
          <cell r="E6">
            <v>2864</v>
          </cell>
          <cell r="F6">
            <v>932</v>
          </cell>
          <cell r="G6">
            <v>573</v>
          </cell>
          <cell r="H6">
            <v>691</v>
          </cell>
          <cell r="I6">
            <v>5351</v>
          </cell>
          <cell r="J6">
            <v>11669</v>
          </cell>
          <cell r="K6">
            <v>17430</v>
          </cell>
          <cell r="L6">
            <v>8042</v>
          </cell>
          <cell r="M6">
            <v>7315</v>
          </cell>
          <cell r="N6">
            <v>1864</v>
          </cell>
          <cell r="O6">
            <v>666</v>
          </cell>
          <cell r="P6">
            <v>299</v>
          </cell>
          <cell r="Q6">
            <v>185</v>
          </cell>
          <cell r="R6">
            <v>123</v>
          </cell>
          <cell r="S6">
            <v>66</v>
          </cell>
        </row>
        <row r="7">
          <cell r="C7">
            <v>798</v>
          </cell>
          <cell r="D7">
            <v>2554</v>
          </cell>
          <cell r="E7">
            <v>1921</v>
          </cell>
          <cell r="F7">
            <v>570</v>
          </cell>
          <cell r="G7">
            <v>379</v>
          </cell>
          <cell r="H7">
            <v>420</v>
          </cell>
          <cell r="I7">
            <v>3634</v>
          </cell>
          <cell r="J7">
            <v>8176</v>
          </cell>
          <cell r="K7">
            <v>12551</v>
          </cell>
          <cell r="L7">
            <v>5470</v>
          </cell>
          <cell r="M7">
            <v>5577</v>
          </cell>
          <cell r="N7">
            <v>1722</v>
          </cell>
          <cell r="O7">
            <v>640</v>
          </cell>
          <cell r="P7">
            <v>319</v>
          </cell>
          <cell r="Q7">
            <v>186</v>
          </cell>
          <cell r="R7">
            <v>105</v>
          </cell>
          <cell r="S7">
            <v>67</v>
          </cell>
        </row>
        <row r="8">
          <cell r="C8">
            <v>542</v>
          </cell>
          <cell r="D8">
            <v>1634</v>
          </cell>
          <cell r="E8">
            <v>1641</v>
          </cell>
          <cell r="F8">
            <v>517</v>
          </cell>
          <cell r="G8">
            <v>378</v>
          </cell>
          <cell r="H8">
            <v>455</v>
          </cell>
          <cell r="I8">
            <v>4291</v>
          </cell>
          <cell r="J8">
            <v>7891</v>
          </cell>
          <cell r="K8">
            <v>10040</v>
          </cell>
          <cell r="L8">
            <v>4863</v>
          </cell>
          <cell r="M8">
            <v>5193</v>
          </cell>
          <cell r="N8">
            <v>1579</v>
          </cell>
          <cell r="O8">
            <v>591</v>
          </cell>
          <cell r="P8">
            <v>369</v>
          </cell>
          <cell r="Q8">
            <v>219</v>
          </cell>
          <cell r="R8">
            <v>119</v>
          </cell>
          <cell r="S8">
            <v>94</v>
          </cell>
        </row>
        <row r="9">
          <cell r="C9">
            <v>615</v>
          </cell>
          <cell r="D9">
            <v>2233</v>
          </cell>
          <cell r="E9">
            <v>2345</v>
          </cell>
          <cell r="F9">
            <v>933</v>
          </cell>
          <cell r="G9">
            <v>617</v>
          </cell>
          <cell r="H9">
            <v>767</v>
          </cell>
          <cell r="I9">
            <v>5197</v>
          </cell>
          <cell r="J9">
            <v>9427</v>
          </cell>
          <cell r="K9">
            <v>12034</v>
          </cell>
          <cell r="L9">
            <v>6905</v>
          </cell>
          <cell r="M9">
            <v>10493</v>
          </cell>
          <cell r="N9">
            <v>3911</v>
          </cell>
          <cell r="O9">
            <v>1723</v>
          </cell>
          <cell r="P9">
            <v>1050</v>
          </cell>
          <cell r="Q9">
            <v>578</v>
          </cell>
          <cell r="R9">
            <v>309</v>
          </cell>
          <cell r="S9">
            <v>132</v>
          </cell>
        </row>
        <row r="10">
          <cell r="C10">
            <v>404</v>
          </cell>
          <cell r="D10">
            <v>2084</v>
          </cell>
          <cell r="E10">
            <v>2880</v>
          </cell>
          <cell r="F10">
            <v>1170</v>
          </cell>
          <cell r="G10">
            <v>721</v>
          </cell>
          <cell r="H10">
            <v>681</v>
          </cell>
          <cell r="I10">
            <v>1573</v>
          </cell>
          <cell r="J10">
            <v>2097</v>
          </cell>
          <cell r="K10">
            <v>5093</v>
          </cell>
          <cell r="L10">
            <v>4777</v>
          </cell>
          <cell r="M10">
            <v>6933</v>
          </cell>
          <cell r="N10">
            <v>3048</v>
          </cell>
          <cell r="O10">
            <v>1360</v>
          </cell>
          <cell r="P10">
            <v>810</v>
          </cell>
          <cell r="Q10">
            <v>509</v>
          </cell>
          <cell r="R10">
            <v>312</v>
          </cell>
          <cell r="S10">
            <v>117</v>
          </cell>
        </row>
        <row r="11">
          <cell r="C11">
            <v>669</v>
          </cell>
          <cell r="D11">
            <v>3481</v>
          </cell>
          <cell r="E11">
            <v>4913</v>
          </cell>
          <cell r="F11">
            <v>1929</v>
          </cell>
          <cell r="G11">
            <v>1123</v>
          </cell>
          <cell r="H11">
            <v>1157</v>
          </cell>
          <cell r="I11">
            <v>2588</v>
          </cell>
          <cell r="J11">
            <v>2902</v>
          </cell>
          <cell r="K11">
            <v>7147</v>
          </cell>
          <cell r="L11">
            <v>7380</v>
          </cell>
          <cell r="M11">
            <v>9779</v>
          </cell>
          <cell r="N11">
            <v>4012</v>
          </cell>
          <cell r="O11">
            <v>1630</v>
          </cell>
          <cell r="P11">
            <v>1023</v>
          </cell>
          <cell r="Q11">
            <v>634</v>
          </cell>
          <cell r="R11">
            <v>365</v>
          </cell>
          <cell r="S11">
            <v>126</v>
          </cell>
        </row>
        <row r="12">
          <cell r="C12">
            <v>563</v>
          </cell>
          <cell r="D12">
            <v>3153</v>
          </cell>
          <cell r="E12">
            <v>4874</v>
          </cell>
          <cell r="F12">
            <v>1946</v>
          </cell>
          <cell r="G12">
            <v>1177</v>
          </cell>
          <cell r="H12">
            <v>1214</v>
          </cell>
          <cell r="I12">
            <v>4419</v>
          </cell>
          <cell r="J12">
            <v>4307</v>
          </cell>
          <cell r="K12">
            <v>7553</v>
          </cell>
          <cell r="L12">
            <v>7679</v>
          </cell>
          <cell r="M12">
            <v>9821</v>
          </cell>
          <cell r="N12">
            <v>3203</v>
          </cell>
          <cell r="O12">
            <v>1293</v>
          </cell>
          <cell r="P12">
            <v>866</v>
          </cell>
          <cell r="Q12">
            <v>640</v>
          </cell>
          <cell r="R12">
            <v>334</v>
          </cell>
          <cell r="S12">
            <v>111</v>
          </cell>
        </row>
        <row r="13">
          <cell r="C13">
            <v>481</v>
          </cell>
          <cell r="D13">
            <v>2400</v>
          </cell>
          <cell r="E13">
            <v>3109</v>
          </cell>
          <cell r="F13">
            <v>1170</v>
          </cell>
          <cell r="G13">
            <v>731</v>
          </cell>
          <cell r="H13">
            <v>662</v>
          </cell>
          <cell r="I13">
            <v>1756</v>
          </cell>
          <cell r="J13">
            <v>2801</v>
          </cell>
          <cell r="K13">
            <v>6395</v>
          </cell>
          <cell r="L13">
            <v>5177</v>
          </cell>
          <cell r="M13">
            <v>5498</v>
          </cell>
          <cell r="N13">
            <v>1608</v>
          </cell>
          <cell r="O13">
            <v>645</v>
          </cell>
          <cell r="P13">
            <v>436</v>
          </cell>
          <cell r="Q13">
            <v>307</v>
          </cell>
          <cell r="R13">
            <v>184</v>
          </cell>
          <cell r="S13">
            <v>62</v>
          </cell>
        </row>
        <row r="14">
          <cell r="C14">
            <v>295</v>
          </cell>
          <cell r="D14">
            <v>1675</v>
          </cell>
          <cell r="E14">
            <v>2231</v>
          </cell>
          <cell r="F14">
            <v>959</v>
          </cell>
          <cell r="G14">
            <v>639</v>
          </cell>
          <cell r="H14">
            <v>616</v>
          </cell>
          <cell r="I14">
            <v>1669</v>
          </cell>
          <cell r="J14">
            <v>2088</v>
          </cell>
          <cell r="K14">
            <v>4380</v>
          </cell>
          <cell r="L14">
            <v>4002</v>
          </cell>
          <cell r="M14">
            <v>5771</v>
          </cell>
          <cell r="N14">
            <v>1613</v>
          </cell>
          <cell r="O14">
            <v>714</v>
          </cell>
          <cell r="P14">
            <v>481</v>
          </cell>
          <cell r="Q14">
            <v>341</v>
          </cell>
          <cell r="R14">
            <v>173</v>
          </cell>
          <cell r="S14">
            <v>65</v>
          </cell>
        </row>
        <row r="15">
          <cell r="C15">
            <v>411</v>
          </cell>
          <cell r="D15">
            <v>1997</v>
          </cell>
          <cell r="E15">
            <v>2988</v>
          </cell>
          <cell r="F15">
            <v>1391</v>
          </cell>
          <cell r="G15">
            <v>958</v>
          </cell>
          <cell r="H15">
            <v>977</v>
          </cell>
          <cell r="I15">
            <v>2208</v>
          </cell>
          <cell r="J15">
            <v>2119</v>
          </cell>
          <cell r="K15">
            <v>4581</v>
          </cell>
          <cell r="L15">
            <v>4627</v>
          </cell>
          <cell r="M15">
            <v>6533</v>
          </cell>
          <cell r="N15">
            <v>2233</v>
          </cell>
          <cell r="O15">
            <v>1090</v>
          </cell>
          <cell r="P15">
            <v>629</v>
          </cell>
          <cell r="Q15">
            <v>354</v>
          </cell>
          <cell r="R15">
            <v>165</v>
          </cell>
          <cell r="S15">
            <v>55</v>
          </cell>
        </row>
        <row r="16">
          <cell r="C16">
            <v>627</v>
          </cell>
          <cell r="D16">
            <v>3246</v>
          </cell>
          <cell r="E16">
            <v>4292</v>
          </cell>
          <cell r="F16">
            <v>1659</v>
          </cell>
          <cell r="G16">
            <v>1125</v>
          </cell>
          <cell r="H16">
            <v>1095</v>
          </cell>
          <cell r="I16">
            <v>2797</v>
          </cell>
          <cell r="J16">
            <v>3886</v>
          </cell>
          <cell r="K16">
            <v>8451</v>
          </cell>
          <cell r="L16">
            <v>6981</v>
          </cell>
          <cell r="M16">
            <v>9381</v>
          </cell>
          <cell r="N16">
            <v>3350</v>
          </cell>
          <cell r="O16">
            <v>1309</v>
          </cell>
          <cell r="P16">
            <v>760</v>
          </cell>
          <cell r="Q16">
            <v>527</v>
          </cell>
          <cell r="R16">
            <v>236</v>
          </cell>
          <cell r="S16">
            <v>84</v>
          </cell>
        </row>
        <row r="17">
          <cell r="C17">
            <v>596</v>
          </cell>
          <cell r="D17">
            <v>3275</v>
          </cell>
          <cell r="E17">
            <v>4701</v>
          </cell>
          <cell r="F17">
            <v>1817</v>
          </cell>
          <cell r="G17">
            <v>1063</v>
          </cell>
          <cell r="H17">
            <v>1039</v>
          </cell>
          <cell r="I17">
            <v>2350</v>
          </cell>
          <cell r="J17">
            <v>3287</v>
          </cell>
          <cell r="K17">
            <v>7942</v>
          </cell>
          <cell r="L17">
            <v>7851</v>
          </cell>
          <cell r="M17">
            <v>10169</v>
          </cell>
          <cell r="N17">
            <v>2872</v>
          </cell>
          <cell r="O17">
            <v>1259</v>
          </cell>
          <cell r="P17">
            <v>1125</v>
          </cell>
          <cell r="Q17">
            <v>926</v>
          </cell>
          <cell r="R17">
            <v>433</v>
          </cell>
          <cell r="S17">
            <v>129</v>
          </cell>
        </row>
        <row r="18">
          <cell r="C18">
            <v>592</v>
          </cell>
          <cell r="D18">
            <v>3222</v>
          </cell>
          <cell r="E18">
            <v>4899</v>
          </cell>
          <cell r="F18">
            <v>1938</v>
          </cell>
          <cell r="G18">
            <v>1204</v>
          </cell>
          <cell r="H18">
            <v>1195</v>
          </cell>
          <cell r="I18">
            <v>2663</v>
          </cell>
          <cell r="J18">
            <v>3084</v>
          </cell>
          <cell r="K18">
            <v>7292</v>
          </cell>
          <cell r="L18">
            <v>8056</v>
          </cell>
          <cell r="M18">
            <v>10671</v>
          </cell>
          <cell r="N18">
            <v>3707</v>
          </cell>
          <cell r="O18">
            <v>1557</v>
          </cell>
          <cell r="P18">
            <v>1052</v>
          </cell>
          <cell r="Q18">
            <v>734</v>
          </cell>
          <cell r="R18">
            <v>421</v>
          </cell>
          <cell r="S18">
            <v>172</v>
          </cell>
        </row>
        <row r="19">
          <cell r="C19">
            <v>506</v>
          </cell>
          <cell r="D19">
            <v>2556</v>
          </cell>
          <cell r="E19">
            <v>4025</v>
          </cell>
          <cell r="F19">
            <v>1713</v>
          </cell>
          <cell r="G19">
            <v>1146</v>
          </cell>
          <cell r="H19">
            <v>1085</v>
          </cell>
          <cell r="I19">
            <v>2494</v>
          </cell>
          <cell r="J19">
            <v>2437</v>
          </cell>
          <cell r="K19">
            <v>5815</v>
          </cell>
          <cell r="L19">
            <v>5568</v>
          </cell>
          <cell r="M19">
            <v>8100</v>
          </cell>
          <cell r="N19">
            <v>2211</v>
          </cell>
          <cell r="O19">
            <v>765</v>
          </cell>
          <cell r="P19">
            <v>352</v>
          </cell>
          <cell r="Q19">
            <v>208</v>
          </cell>
          <cell r="R19">
            <v>88</v>
          </cell>
          <cell r="S19">
            <v>42</v>
          </cell>
        </row>
        <row r="20">
          <cell r="C20">
            <v>6</v>
          </cell>
          <cell r="D20">
            <v>86</v>
          </cell>
          <cell r="E20">
            <v>193</v>
          </cell>
          <cell r="F20">
            <v>55</v>
          </cell>
          <cell r="G20">
            <v>25</v>
          </cell>
          <cell r="H20">
            <v>22</v>
          </cell>
          <cell r="I20">
            <v>104</v>
          </cell>
          <cell r="J20">
            <v>195</v>
          </cell>
          <cell r="K20">
            <v>594</v>
          </cell>
          <cell r="L20">
            <v>518</v>
          </cell>
          <cell r="M20">
            <v>459</v>
          </cell>
          <cell r="N20">
            <v>59</v>
          </cell>
          <cell r="O20">
            <v>28</v>
          </cell>
          <cell r="P20">
            <v>18</v>
          </cell>
          <cell r="Q20">
            <v>13</v>
          </cell>
          <cell r="R20">
            <v>7</v>
          </cell>
          <cell r="S20">
            <v>4</v>
          </cell>
        </row>
        <row r="26">
          <cell r="C26">
            <v>4</v>
          </cell>
          <cell r="D26">
            <v>13</v>
          </cell>
          <cell r="E26">
            <v>16</v>
          </cell>
          <cell r="F26">
            <v>6</v>
          </cell>
          <cell r="G26">
            <v>4</v>
          </cell>
          <cell r="H26">
            <v>16</v>
          </cell>
          <cell r="I26">
            <v>316</v>
          </cell>
          <cell r="J26">
            <v>381</v>
          </cell>
          <cell r="K26">
            <v>392</v>
          </cell>
          <cell r="L26">
            <v>139</v>
          </cell>
          <cell r="M26">
            <v>143</v>
          </cell>
          <cell r="N26">
            <v>26</v>
          </cell>
          <cell r="O26">
            <v>6</v>
          </cell>
          <cell r="P26">
            <v>3</v>
          </cell>
          <cell r="Q26">
            <v>2</v>
          </cell>
          <cell r="R26">
            <v>4</v>
          </cell>
          <cell r="S26">
            <v>0</v>
          </cell>
        </row>
        <row r="29">
          <cell r="C29">
            <v>5</v>
          </cell>
          <cell r="D29">
            <v>23</v>
          </cell>
          <cell r="E29">
            <v>61</v>
          </cell>
          <cell r="F29">
            <v>21</v>
          </cell>
          <cell r="G29">
            <v>27</v>
          </cell>
          <cell r="H29">
            <v>15</v>
          </cell>
          <cell r="I29">
            <v>25</v>
          </cell>
          <cell r="J29">
            <v>32</v>
          </cell>
          <cell r="K29">
            <v>77</v>
          </cell>
          <cell r="L29">
            <v>116</v>
          </cell>
          <cell r="M29">
            <v>195</v>
          </cell>
          <cell r="N29">
            <v>55</v>
          </cell>
          <cell r="O29">
            <v>24</v>
          </cell>
          <cell r="P29">
            <v>14</v>
          </cell>
          <cell r="Q29">
            <v>9</v>
          </cell>
          <cell r="R29">
            <v>2</v>
          </cell>
          <cell r="S29">
            <v>0</v>
          </cell>
        </row>
        <row r="30">
          <cell r="C30">
            <v>6</v>
          </cell>
          <cell r="D30">
            <v>49</v>
          </cell>
          <cell r="E30">
            <v>70</v>
          </cell>
          <cell r="F30">
            <v>26</v>
          </cell>
          <cell r="G30">
            <v>15</v>
          </cell>
          <cell r="H30">
            <v>19</v>
          </cell>
          <cell r="I30">
            <v>49</v>
          </cell>
          <cell r="J30">
            <v>39</v>
          </cell>
          <cell r="K30">
            <v>103</v>
          </cell>
          <cell r="L30">
            <v>122</v>
          </cell>
          <cell r="M30">
            <v>240</v>
          </cell>
          <cell r="N30">
            <v>55</v>
          </cell>
          <cell r="O30">
            <v>12</v>
          </cell>
          <cell r="P30">
            <v>12</v>
          </cell>
          <cell r="Q30">
            <v>4</v>
          </cell>
          <cell r="R30">
            <v>5</v>
          </cell>
          <cell r="S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2</v>
          </cell>
          <cell r="G33">
            <v>3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3</v>
          </cell>
          <cell r="M33">
            <v>8</v>
          </cell>
          <cell r="N33">
            <v>3</v>
          </cell>
          <cell r="O33">
            <v>4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2</v>
          </cell>
          <cell r="D34">
            <v>0</v>
          </cell>
          <cell r="E34">
            <v>3</v>
          </cell>
          <cell r="F34">
            <v>0</v>
          </cell>
          <cell r="G34">
            <v>0</v>
          </cell>
          <cell r="H34">
            <v>2</v>
          </cell>
          <cell r="I34">
            <v>1</v>
          </cell>
          <cell r="J34">
            <v>3</v>
          </cell>
          <cell r="K34">
            <v>5</v>
          </cell>
          <cell r="L34">
            <v>13</v>
          </cell>
          <cell r="M34">
            <v>10</v>
          </cell>
          <cell r="N34">
            <v>5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-1</v>
          </cell>
          <cell r="W5">
            <v>13</v>
          </cell>
          <cell r="X5">
            <v>7</v>
          </cell>
          <cell r="Y5">
            <v>11</v>
          </cell>
          <cell r="Z5">
            <v>5</v>
          </cell>
        </row>
        <row r="6">
          <cell r="U6">
            <v>3</v>
          </cell>
          <cell r="V6">
            <v>2</v>
          </cell>
          <cell r="W6">
            <v>4</v>
          </cell>
          <cell r="X6">
            <v>-6</v>
          </cell>
          <cell r="Y6">
            <v>-11</v>
          </cell>
          <cell r="Z6">
            <v>-6</v>
          </cell>
        </row>
        <row r="7">
          <cell r="U7">
            <v>-12</v>
          </cell>
          <cell r="V7">
            <v>-6</v>
          </cell>
          <cell r="W7">
            <v>-2</v>
          </cell>
          <cell r="X7">
            <v>-5</v>
          </cell>
          <cell r="Y7">
            <v>-10</v>
          </cell>
          <cell r="Z7">
            <v>-1</v>
          </cell>
        </row>
        <row r="8">
          <cell r="U8">
            <v>-7</v>
          </cell>
          <cell r="V8">
            <v>-8</v>
          </cell>
          <cell r="W8">
            <v>-15</v>
          </cell>
          <cell r="X8">
            <v>-25</v>
          </cell>
          <cell r="Y8">
            <v>-20</v>
          </cell>
          <cell r="Z8">
            <v>-20</v>
          </cell>
        </row>
        <row r="9">
          <cell r="U9">
            <v>6</v>
          </cell>
          <cell r="V9">
            <v>6</v>
          </cell>
          <cell r="W9">
            <v>3</v>
          </cell>
          <cell r="X9">
            <v>5</v>
          </cell>
          <cell r="Y9">
            <v>-7</v>
          </cell>
          <cell r="Z9">
            <v>10</v>
          </cell>
        </row>
        <row r="10">
          <cell r="U10">
            <v>-7</v>
          </cell>
          <cell r="V10">
            <v>-3</v>
          </cell>
          <cell r="W10">
            <v>-7</v>
          </cell>
          <cell r="X10">
            <v>-18</v>
          </cell>
          <cell r="Y10">
            <v>-14</v>
          </cell>
          <cell r="Z10">
            <v>-20</v>
          </cell>
        </row>
        <row r="11">
          <cell r="U11">
            <v>-3</v>
          </cell>
          <cell r="V11">
            <v>7</v>
          </cell>
          <cell r="W11">
            <v>0</v>
          </cell>
          <cell r="X11">
            <v>9</v>
          </cell>
          <cell r="Y11">
            <v>-11</v>
          </cell>
          <cell r="Z11">
            <v>16</v>
          </cell>
        </row>
        <row r="12">
          <cell r="U12">
            <v>8</v>
          </cell>
          <cell r="V12">
            <v>11</v>
          </cell>
          <cell r="W12">
            <v>12</v>
          </cell>
          <cell r="X12">
            <v>5</v>
          </cell>
          <cell r="Y12">
            <v>11</v>
          </cell>
          <cell r="Z12">
            <v>6</v>
          </cell>
        </row>
        <row r="13">
          <cell r="U13">
            <v>4</v>
          </cell>
          <cell r="V13">
            <v>1</v>
          </cell>
          <cell r="W13">
            <v>5</v>
          </cell>
          <cell r="X13">
            <v>25</v>
          </cell>
          <cell r="Y13">
            <v>21</v>
          </cell>
          <cell r="Z13">
            <v>13</v>
          </cell>
        </row>
        <row r="14">
          <cell r="U14">
            <v>-6</v>
          </cell>
          <cell r="V14">
            <v>-4</v>
          </cell>
          <cell r="W14">
            <v>-22</v>
          </cell>
          <cell r="X14">
            <v>-18</v>
          </cell>
          <cell r="Y14">
            <v>-18</v>
          </cell>
          <cell r="Z14">
            <v>-14</v>
          </cell>
        </row>
        <row r="15">
          <cell r="U15">
            <v>-2</v>
          </cell>
          <cell r="V15">
            <v>-9</v>
          </cell>
          <cell r="W15">
            <v>7</v>
          </cell>
          <cell r="X15">
            <v>-17</v>
          </cell>
          <cell r="Y15">
            <v>-21</v>
          </cell>
          <cell r="Z15">
            <v>-15</v>
          </cell>
        </row>
        <row r="16">
          <cell r="U16">
            <v>15</v>
          </cell>
          <cell r="V16">
            <v>8</v>
          </cell>
          <cell r="W16">
            <v>-1</v>
          </cell>
          <cell r="X16">
            <v>-1</v>
          </cell>
          <cell r="Y16">
            <v>3</v>
          </cell>
          <cell r="Z16">
            <v>4</v>
          </cell>
        </row>
        <row r="17">
          <cell r="U17">
            <v>3</v>
          </cell>
          <cell r="V17">
            <v>-4</v>
          </cell>
          <cell r="W17">
            <v>4</v>
          </cell>
          <cell r="X17">
            <v>16</v>
          </cell>
          <cell r="Y17">
            <v>37</v>
          </cell>
          <cell r="Z17">
            <v>15</v>
          </cell>
        </row>
        <row r="18">
          <cell r="U18">
            <v>17</v>
          </cell>
          <cell r="V18">
            <v>16</v>
          </cell>
          <cell r="W18">
            <v>6</v>
          </cell>
          <cell r="X18">
            <v>28</v>
          </cell>
          <cell r="Y18">
            <v>34</v>
          </cell>
          <cell r="Z18">
            <v>14</v>
          </cell>
        </row>
        <row r="19">
          <cell r="U19">
            <v>2</v>
          </cell>
          <cell r="V19">
            <v>0</v>
          </cell>
          <cell r="W19">
            <v>3</v>
          </cell>
          <cell r="X19">
            <v>0</v>
          </cell>
          <cell r="Y19">
            <v>-4</v>
          </cell>
          <cell r="Z19">
            <v>-3</v>
          </cell>
        </row>
        <row r="23">
          <cell r="N23">
            <v>6</v>
          </cell>
          <cell r="O23">
            <v>4</v>
          </cell>
          <cell r="P23">
            <v>4</v>
          </cell>
          <cell r="Q23">
            <v>0</v>
          </cell>
          <cell r="R23">
            <v>0</v>
          </cell>
          <cell r="S23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2:M41"/>
  <sheetViews>
    <sheetView showGridLines="0" tabSelected="1" zoomScaleNormal="100" workbookViewId="0">
      <selection activeCell="E2" sqref="E2"/>
    </sheetView>
  </sheetViews>
  <sheetFormatPr baseColWidth="10" defaultRowHeight="12.45" x14ac:dyDescent="0.3"/>
  <cols>
    <col min="1" max="1" width="5" customWidth="1"/>
    <col min="2" max="2" width="23" customWidth="1"/>
  </cols>
  <sheetData>
    <row r="2" spans="1:13" x14ac:dyDescent="0.3">
      <c r="A2" t="s">
        <v>0</v>
      </c>
    </row>
    <row r="4" spans="1:13" x14ac:dyDescent="0.3">
      <c r="A4" t="str">
        <f>A6</f>
        <v>Tabell 1 - 16 - A - Fysioterapitilbud i bydelen 1)</v>
      </c>
    </row>
    <row r="6" spans="1:13" s="415" customFormat="1" ht="12.9" thickBot="1" x14ac:dyDescent="0.35">
      <c r="A6" s="7" t="s">
        <v>395</v>
      </c>
    </row>
    <row r="7" spans="1:13" s="415" customFormat="1" ht="12.9" thickBot="1" x14ac:dyDescent="0.35">
      <c r="A7" s="918"/>
      <c r="B7" s="919"/>
      <c r="C7" s="1625" t="s">
        <v>399</v>
      </c>
      <c r="D7" s="1626"/>
      <c r="E7" s="1626"/>
      <c r="F7" s="1627"/>
      <c r="G7" s="1626" t="s">
        <v>396</v>
      </c>
      <c r="H7" s="1626"/>
      <c r="I7" s="1626"/>
      <c r="J7" s="1627"/>
    </row>
    <row r="8" spans="1:13" s="415" customFormat="1" ht="75" thickBot="1" x14ac:dyDescent="0.35">
      <c r="A8" s="195" t="s">
        <v>39</v>
      </c>
      <c r="B8" s="923" t="s">
        <v>3</v>
      </c>
      <c r="C8" s="1117" t="s">
        <v>400</v>
      </c>
      <c r="D8" s="1118" t="s">
        <v>401</v>
      </c>
      <c r="E8" s="1119" t="s">
        <v>402</v>
      </c>
      <c r="F8" s="1406" t="s">
        <v>403</v>
      </c>
      <c r="G8" s="1117" t="s">
        <v>400</v>
      </c>
      <c r="H8" s="1118" t="s">
        <v>401</v>
      </c>
      <c r="I8" s="1119" t="s">
        <v>402</v>
      </c>
      <c r="J8" s="1406" t="s">
        <v>404</v>
      </c>
    </row>
    <row r="9" spans="1:13" s="412" customFormat="1" x14ac:dyDescent="0.3">
      <c r="A9" s="180">
        <v>1</v>
      </c>
      <c r="B9" s="181" t="s">
        <v>14</v>
      </c>
      <c r="C9" s="1405">
        <v>8</v>
      </c>
      <c r="D9" s="1405">
        <v>9</v>
      </c>
      <c r="E9" s="1405">
        <v>2</v>
      </c>
      <c r="F9" s="1405">
        <v>19</v>
      </c>
      <c r="G9" s="1404">
        <v>11</v>
      </c>
      <c r="H9" s="1404">
        <v>9</v>
      </c>
      <c r="I9" s="1404">
        <v>2</v>
      </c>
      <c r="J9" s="1404">
        <v>22</v>
      </c>
    </row>
    <row r="10" spans="1:13" x14ac:dyDescent="0.3">
      <c r="A10" s="70">
        <v>2</v>
      </c>
      <c r="B10" s="24" t="s">
        <v>15</v>
      </c>
      <c r="C10" s="1405">
        <v>16.25</v>
      </c>
      <c r="D10" s="1405">
        <v>8.5</v>
      </c>
      <c r="E10" s="1405">
        <v>0</v>
      </c>
      <c r="F10" s="1405">
        <v>24.75</v>
      </c>
      <c r="G10" s="1404">
        <v>17</v>
      </c>
      <c r="H10" s="1404">
        <v>9</v>
      </c>
      <c r="I10" s="1404">
        <v>0</v>
      </c>
      <c r="J10" s="1404">
        <v>26</v>
      </c>
      <c r="M10" t="s">
        <v>108</v>
      </c>
    </row>
    <row r="11" spans="1:13" x14ac:dyDescent="0.3">
      <c r="A11" s="70">
        <v>3</v>
      </c>
      <c r="B11" s="24" t="s">
        <v>16</v>
      </c>
      <c r="C11" s="1405">
        <v>10.55</v>
      </c>
      <c r="D11" s="1405">
        <v>13.5</v>
      </c>
      <c r="E11" s="1405">
        <v>0</v>
      </c>
      <c r="F11" s="1405">
        <v>24.05</v>
      </c>
      <c r="G11" s="1404">
        <v>15</v>
      </c>
      <c r="H11" s="1404">
        <v>14</v>
      </c>
      <c r="I11" s="1404">
        <v>0</v>
      </c>
      <c r="J11" s="1404">
        <v>29</v>
      </c>
    </row>
    <row r="12" spans="1:13" x14ac:dyDescent="0.3">
      <c r="A12" s="70">
        <v>4</v>
      </c>
      <c r="B12" s="24" t="s">
        <v>17</v>
      </c>
      <c r="C12" s="1405">
        <v>33.5</v>
      </c>
      <c r="D12" s="1405">
        <v>9</v>
      </c>
      <c r="E12" s="1405">
        <v>0</v>
      </c>
      <c r="F12" s="1405">
        <v>42.5</v>
      </c>
      <c r="G12" s="1404">
        <v>39</v>
      </c>
      <c r="H12" s="1404">
        <v>12</v>
      </c>
      <c r="I12" s="1404">
        <v>0</v>
      </c>
      <c r="J12" s="1404">
        <v>51</v>
      </c>
    </row>
    <row r="13" spans="1:13" x14ac:dyDescent="0.3">
      <c r="A13" s="70">
        <v>5</v>
      </c>
      <c r="B13" s="24" t="s">
        <v>18</v>
      </c>
      <c r="C13" s="1405">
        <v>28.74</v>
      </c>
      <c r="D13" s="1405">
        <v>14.6</v>
      </c>
      <c r="E13" s="1405">
        <v>3.5</v>
      </c>
      <c r="F13" s="1405">
        <v>46.839999999999996</v>
      </c>
      <c r="G13" s="1404">
        <v>34</v>
      </c>
      <c r="H13" s="1404">
        <v>15</v>
      </c>
      <c r="I13" s="1404">
        <v>4</v>
      </c>
      <c r="J13" s="1404">
        <v>53</v>
      </c>
    </row>
    <row r="14" spans="1:13" x14ac:dyDescent="0.3">
      <c r="A14" s="71">
        <v>6</v>
      </c>
      <c r="B14" s="26" t="s">
        <v>19</v>
      </c>
      <c r="C14" s="1405">
        <v>9.4</v>
      </c>
      <c r="D14" s="1405">
        <v>10.8</v>
      </c>
      <c r="E14" s="1405">
        <v>2</v>
      </c>
      <c r="F14" s="1405">
        <v>22.200000000000003</v>
      </c>
      <c r="G14" s="1404">
        <v>10</v>
      </c>
      <c r="H14" s="1404">
        <v>11</v>
      </c>
      <c r="I14" s="1404">
        <v>2</v>
      </c>
      <c r="J14" s="1404">
        <v>23</v>
      </c>
    </row>
    <row r="15" spans="1:13" x14ac:dyDescent="0.3">
      <c r="A15" s="71">
        <v>7</v>
      </c>
      <c r="B15" s="26" t="s">
        <v>20</v>
      </c>
      <c r="C15" s="1405">
        <v>21.96</v>
      </c>
      <c r="D15" s="1405">
        <v>14</v>
      </c>
      <c r="E15" s="1405">
        <v>0</v>
      </c>
      <c r="F15" s="1405">
        <v>35.96</v>
      </c>
      <c r="G15" s="1404">
        <v>29</v>
      </c>
      <c r="H15" s="1404">
        <v>18</v>
      </c>
      <c r="I15" s="1404">
        <v>0</v>
      </c>
      <c r="J15" s="1404">
        <v>47</v>
      </c>
    </row>
    <row r="16" spans="1:13" x14ac:dyDescent="0.3">
      <c r="A16" s="70">
        <v>8</v>
      </c>
      <c r="B16" s="24" t="s">
        <v>21</v>
      </c>
      <c r="C16" s="1405">
        <v>17.5</v>
      </c>
      <c r="D16" s="1405">
        <v>14.8</v>
      </c>
      <c r="E16" s="1405">
        <v>1</v>
      </c>
      <c r="F16" s="1405">
        <v>33.299999999999997</v>
      </c>
      <c r="G16" s="1404">
        <v>21</v>
      </c>
      <c r="H16" s="1404">
        <v>15</v>
      </c>
      <c r="I16" s="1404">
        <v>1</v>
      </c>
      <c r="J16" s="1404">
        <v>37</v>
      </c>
    </row>
    <row r="17" spans="1:13" x14ac:dyDescent="0.3">
      <c r="A17" s="70">
        <v>9</v>
      </c>
      <c r="B17" s="24" t="s">
        <v>22</v>
      </c>
      <c r="C17" s="1405">
        <v>16.829999999999998</v>
      </c>
      <c r="D17" s="1405">
        <v>8.6</v>
      </c>
      <c r="E17" s="1405">
        <v>2</v>
      </c>
      <c r="F17" s="1405">
        <v>27.43</v>
      </c>
      <c r="G17" s="1404">
        <v>22</v>
      </c>
      <c r="H17" s="1404">
        <v>9</v>
      </c>
      <c r="I17" s="1404">
        <v>2</v>
      </c>
      <c r="J17" s="1404">
        <v>33</v>
      </c>
    </row>
    <row r="18" spans="1:13" x14ac:dyDescent="0.3">
      <c r="A18" s="70">
        <v>10</v>
      </c>
      <c r="B18" s="24" t="s">
        <v>23</v>
      </c>
      <c r="C18" s="1405">
        <v>9</v>
      </c>
      <c r="D18" s="1405">
        <v>13</v>
      </c>
      <c r="E18" s="1405">
        <v>1</v>
      </c>
      <c r="F18" s="1405">
        <v>23</v>
      </c>
      <c r="G18" s="1404">
        <v>9</v>
      </c>
      <c r="H18" s="1404">
        <v>13</v>
      </c>
      <c r="I18" s="1404">
        <v>1</v>
      </c>
      <c r="J18" s="1404">
        <v>23</v>
      </c>
    </row>
    <row r="19" spans="1:13" x14ac:dyDescent="0.3">
      <c r="A19" s="71">
        <v>11</v>
      </c>
      <c r="B19" s="26" t="s">
        <v>24</v>
      </c>
      <c r="C19" s="1405">
        <v>15.4</v>
      </c>
      <c r="D19" s="1405">
        <v>12</v>
      </c>
      <c r="E19" s="1405">
        <v>1</v>
      </c>
      <c r="F19" s="1405">
        <v>28.4</v>
      </c>
      <c r="G19" s="1404">
        <v>19</v>
      </c>
      <c r="H19" s="1404">
        <v>13</v>
      </c>
      <c r="I19" s="1404">
        <v>2</v>
      </c>
      <c r="J19" s="1404">
        <v>34</v>
      </c>
      <c r="L19" t="s">
        <v>108</v>
      </c>
    </row>
    <row r="20" spans="1:13" x14ac:dyDescent="0.3">
      <c r="A20" s="70">
        <v>12</v>
      </c>
      <c r="B20" s="24" t="s">
        <v>25</v>
      </c>
      <c r="C20" s="1405">
        <v>25.2</v>
      </c>
      <c r="D20" s="1405">
        <v>27.3</v>
      </c>
      <c r="E20" s="1405">
        <v>1</v>
      </c>
      <c r="F20" s="1405">
        <v>53.5</v>
      </c>
      <c r="G20" s="1404">
        <v>27</v>
      </c>
      <c r="H20" s="1404">
        <v>28</v>
      </c>
      <c r="I20" s="1404">
        <v>1</v>
      </c>
      <c r="J20" s="1404">
        <v>56</v>
      </c>
    </row>
    <row r="21" spans="1:13" x14ac:dyDescent="0.3">
      <c r="A21" s="70">
        <v>13</v>
      </c>
      <c r="B21" s="24" t="s">
        <v>26</v>
      </c>
      <c r="C21" s="1405">
        <v>23.7</v>
      </c>
      <c r="D21" s="1405">
        <v>16.7</v>
      </c>
      <c r="E21" s="1405">
        <v>2</v>
      </c>
      <c r="F21" s="1405">
        <v>42.4</v>
      </c>
      <c r="G21" s="1404">
        <v>28</v>
      </c>
      <c r="H21" s="1404">
        <v>18</v>
      </c>
      <c r="I21" s="1404">
        <v>2</v>
      </c>
      <c r="J21" s="1404">
        <v>48</v>
      </c>
      <c r="M21" t="s">
        <v>108</v>
      </c>
    </row>
    <row r="22" spans="1:13" x14ac:dyDescent="0.3">
      <c r="A22" s="70">
        <v>14</v>
      </c>
      <c r="B22" s="24" t="s">
        <v>27</v>
      </c>
      <c r="C22" s="1405">
        <v>13.9</v>
      </c>
      <c r="D22" s="1405">
        <v>14.3</v>
      </c>
      <c r="E22" s="1405">
        <v>1</v>
      </c>
      <c r="F22" s="1405">
        <v>29.200000000000003</v>
      </c>
      <c r="G22" s="1404">
        <v>16</v>
      </c>
      <c r="H22" s="1404">
        <v>16</v>
      </c>
      <c r="I22" s="1404">
        <v>1</v>
      </c>
      <c r="J22" s="1404">
        <v>33</v>
      </c>
    </row>
    <row r="23" spans="1:13" ht="12.9" thickBot="1" x14ac:dyDescent="0.35">
      <c r="A23" s="72">
        <v>15</v>
      </c>
      <c r="B23" s="73" t="s">
        <v>28</v>
      </c>
      <c r="C23" s="1405">
        <v>11.5</v>
      </c>
      <c r="D23" s="1405">
        <v>6.5</v>
      </c>
      <c r="E23" s="1405">
        <v>1</v>
      </c>
      <c r="F23" s="1405">
        <v>19</v>
      </c>
      <c r="G23" s="1404">
        <v>12</v>
      </c>
      <c r="H23" s="1404">
        <v>7</v>
      </c>
      <c r="I23" s="1404">
        <v>1</v>
      </c>
      <c r="J23" s="1404">
        <v>20</v>
      </c>
    </row>
    <row r="24" spans="1:13" x14ac:dyDescent="0.3">
      <c r="A24" s="406"/>
      <c r="B24" s="655" t="s">
        <v>537</v>
      </c>
      <c r="C24" s="938">
        <f>SUM(C9:C23)</f>
        <v>261.43</v>
      </c>
      <c r="D24" s="939">
        <f t="shared" ref="D24:J24" si="0">SUM(D9:D23)</f>
        <v>192.6</v>
      </c>
      <c r="E24" s="939">
        <f t="shared" si="0"/>
        <v>17.5</v>
      </c>
      <c r="F24" s="940">
        <f t="shared" si="0"/>
        <v>471.52999999999992</v>
      </c>
      <c r="G24" s="927">
        <f t="shared" si="0"/>
        <v>309</v>
      </c>
      <c r="H24" s="928">
        <f t="shared" si="0"/>
        <v>207</v>
      </c>
      <c r="I24" s="928">
        <f t="shared" si="0"/>
        <v>19</v>
      </c>
      <c r="J24" s="929">
        <f t="shared" si="0"/>
        <v>535</v>
      </c>
    </row>
    <row r="25" spans="1:13" s="415" customFormat="1" x14ac:dyDescent="0.3">
      <c r="A25" s="416"/>
      <c r="B25" s="652" t="s">
        <v>496</v>
      </c>
      <c r="C25" s="1114">
        <v>259.02</v>
      </c>
      <c r="D25" s="1115">
        <v>178.15999999999997</v>
      </c>
      <c r="E25" s="1115">
        <v>19.399999999999999</v>
      </c>
      <c r="F25" s="1116">
        <v>456.57999999999993</v>
      </c>
      <c r="G25" s="934">
        <v>304.34000000000003</v>
      </c>
      <c r="H25" s="935">
        <v>181</v>
      </c>
      <c r="I25" s="935">
        <v>20</v>
      </c>
      <c r="J25" s="936">
        <v>505.34000000000003</v>
      </c>
      <c r="L25" s="1407"/>
    </row>
    <row r="26" spans="1:13" s="415" customFormat="1" x14ac:dyDescent="0.3">
      <c r="A26" s="416"/>
      <c r="B26" s="652" t="s">
        <v>466</v>
      </c>
      <c r="C26" s="1114">
        <v>263.88</v>
      </c>
      <c r="D26" s="1115">
        <v>192.04999999999998</v>
      </c>
      <c r="E26" s="1115">
        <v>18.5</v>
      </c>
      <c r="F26" s="1116">
        <v>474.43000000000006</v>
      </c>
      <c r="G26" s="934">
        <v>315.60000000000002</v>
      </c>
      <c r="H26" s="935">
        <v>202</v>
      </c>
      <c r="I26" s="935">
        <v>18.5</v>
      </c>
      <c r="J26" s="936">
        <v>536.1</v>
      </c>
      <c r="L26" s="1407"/>
    </row>
    <row r="27" spans="1:13" s="415" customFormat="1" x14ac:dyDescent="0.3">
      <c r="A27" s="416"/>
      <c r="B27" s="652" t="s">
        <v>446</v>
      </c>
      <c r="C27" s="1114">
        <v>258.45</v>
      </c>
      <c r="D27" s="1115">
        <v>178.35999999999999</v>
      </c>
      <c r="E27" s="1115">
        <v>17.899999999999999</v>
      </c>
      <c r="F27" s="1116">
        <v>454.71</v>
      </c>
      <c r="G27" s="934">
        <v>307</v>
      </c>
      <c r="H27" s="935">
        <v>188.7</v>
      </c>
      <c r="I27" s="935">
        <v>16.899999999999999</v>
      </c>
      <c r="J27" s="936">
        <v>512.59999999999991</v>
      </c>
      <c r="L27" s="1407"/>
    </row>
    <row r="28" spans="1:13" s="415" customFormat="1" x14ac:dyDescent="0.3">
      <c r="A28" s="416"/>
      <c r="B28" s="652" t="s">
        <v>412</v>
      </c>
      <c r="C28" s="1114">
        <v>257.33</v>
      </c>
      <c r="D28" s="1115">
        <v>165.89999999999998</v>
      </c>
      <c r="E28" s="1115">
        <v>16.5</v>
      </c>
      <c r="F28" s="1116">
        <v>439.7299999999999</v>
      </c>
      <c r="G28" s="934">
        <v>312</v>
      </c>
      <c r="H28" s="935">
        <v>172.5</v>
      </c>
      <c r="I28" s="935">
        <v>15.5</v>
      </c>
      <c r="J28" s="936">
        <v>499.99999999999994</v>
      </c>
    </row>
    <row r="29" spans="1:13" s="415" customFormat="1" x14ac:dyDescent="0.3">
      <c r="A29" s="416"/>
      <c r="B29" s="652" t="s">
        <v>409</v>
      </c>
      <c r="C29" s="941">
        <v>249.89000000000001</v>
      </c>
      <c r="D29" s="942">
        <v>158.25</v>
      </c>
      <c r="E29" s="942">
        <v>18.5</v>
      </c>
      <c r="F29" s="943">
        <v>426.64</v>
      </c>
      <c r="G29" s="934">
        <v>311.5</v>
      </c>
      <c r="H29" s="935">
        <v>164.4</v>
      </c>
      <c r="I29" s="935">
        <v>19.5</v>
      </c>
      <c r="J29" s="936">
        <v>495.4</v>
      </c>
      <c r="M29" s="415" t="s">
        <v>108</v>
      </c>
    </row>
    <row r="30" spans="1:13" s="415" customFormat="1" x14ac:dyDescent="0.3">
      <c r="A30" s="211"/>
      <c r="B30" s="175" t="s">
        <v>397</v>
      </c>
      <c r="C30" s="944">
        <v>243.88</v>
      </c>
      <c r="D30" s="945">
        <v>158.82</v>
      </c>
      <c r="E30" s="945">
        <v>15</v>
      </c>
      <c r="F30" s="946">
        <v>417.7</v>
      </c>
      <c r="G30" s="947">
        <v>306</v>
      </c>
      <c r="H30" s="77">
        <v>169.97</v>
      </c>
      <c r="I30" s="77">
        <v>15</v>
      </c>
      <c r="J30" s="78">
        <v>490.97</v>
      </c>
    </row>
    <row r="31" spans="1:13" ht="12.9" thickBot="1" x14ac:dyDescent="0.35">
      <c r="A31" s="212"/>
      <c r="B31" s="176" t="s">
        <v>398</v>
      </c>
      <c r="C31" s="948">
        <v>238.46999999999997</v>
      </c>
      <c r="D31" s="949">
        <v>117.39999999999999</v>
      </c>
      <c r="E31" s="949">
        <v>14</v>
      </c>
      <c r="F31" s="950">
        <v>369.86999999999995</v>
      </c>
      <c r="G31" s="951">
        <v>307</v>
      </c>
      <c r="H31" s="79">
        <v>125</v>
      </c>
      <c r="I31" s="79">
        <v>14</v>
      </c>
      <c r="J31" s="80">
        <v>446</v>
      </c>
      <c r="M31" t="s">
        <v>108</v>
      </c>
    </row>
    <row r="32" spans="1:13" x14ac:dyDescent="0.3">
      <c r="A32" s="922" t="s">
        <v>405</v>
      </c>
    </row>
    <row r="37" spans="7:8" x14ac:dyDescent="0.3">
      <c r="H37" t="s">
        <v>108</v>
      </c>
    </row>
    <row r="41" spans="7:8" x14ac:dyDescent="0.3">
      <c r="G41" t="s">
        <v>108</v>
      </c>
    </row>
  </sheetData>
  <mergeCells count="2">
    <mergeCell ref="C7:F7"/>
    <mergeCell ref="G7:J7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tabColor rgb="FFFF0000"/>
  </sheetPr>
  <dimension ref="A1:O30"/>
  <sheetViews>
    <sheetView showGridLines="0" zoomScaleNormal="100" workbookViewId="0">
      <selection activeCell="J3" sqref="J3"/>
    </sheetView>
  </sheetViews>
  <sheetFormatPr baseColWidth="10" defaultColWidth="11.4609375" defaultRowHeight="14.15" x14ac:dyDescent="0.35"/>
  <cols>
    <col min="1" max="1" width="8.07421875" style="230" customWidth="1"/>
    <col min="2" max="2" width="25.4609375" style="215" customWidth="1"/>
    <col min="3" max="3" width="11.84375" style="215" customWidth="1"/>
    <col min="4" max="4" width="12.07421875" style="215" customWidth="1"/>
    <col min="5" max="5" width="10.07421875" style="215" customWidth="1"/>
    <col min="6" max="6" width="10.4609375" style="215" customWidth="1"/>
    <col min="7" max="7" width="10.84375" style="215" customWidth="1"/>
    <col min="8" max="8" width="14.53515625" style="215" customWidth="1"/>
    <col min="9" max="9" width="11" style="215" customWidth="1"/>
    <col min="10" max="10" width="9.53515625" style="215" customWidth="1"/>
    <col min="11" max="11" width="10" style="215" customWidth="1"/>
    <col min="12" max="12" width="11.4609375" style="215" customWidth="1"/>
    <col min="13" max="16384" width="11.4609375" style="215"/>
  </cols>
  <sheetData>
    <row r="1" spans="1:15" x14ac:dyDescent="0.35">
      <c r="A1" s="235" t="s">
        <v>135</v>
      </c>
      <c r="B1" s="236"/>
    </row>
    <row r="2" spans="1:15" x14ac:dyDescent="0.35">
      <c r="A2" s="216" t="s">
        <v>0</v>
      </c>
    </row>
    <row r="3" spans="1:15" x14ac:dyDescent="0.35">
      <c r="A3" s="216"/>
    </row>
    <row r="4" spans="1:15" x14ac:dyDescent="0.35">
      <c r="A4" s="216" t="str">
        <f>A6</f>
        <v>3-2-F Alternativt tilbud til personer som har fått avslag på søknad om langtidsopphold i sykehjem</v>
      </c>
    </row>
    <row r="5" spans="1:15" x14ac:dyDescent="0.35">
      <c r="A5" s="216"/>
    </row>
    <row r="6" spans="1:15" s="217" customFormat="1" ht="30" customHeight="1" thickBot="1" x14ac:dyDescent="0.35">
      <c r="A6" s="185" t="s">
        <v>159</v>
      </c>
    </row>
    <row r="7" spans="1:15" s="219" customFormat="1" ht="174" customHeight="1" thickBot="1" x14ac:dyDescent="0.4">
      <c r="A7" s="241" t="s">
        <v>2</v>
      </c>
      <c r="B7" s="241" t="s">
        <v>3</v>
      </c>
      <c r="C7" s="266" t="s">
        <v>279</v>
      </c>
      <c r="D7" s="266" t="s">
        <v>293</v>
      </c>
      <c r="E7" s="266" t="s">
        <v>162</v>
      </c>
      <c r="F7" s="285" t="s">
        <v>280</v>
      </c>
      <c r="G7" s="266" t="s">
        <v>281</v>
      </c>
      <c r="H7" s="286" t="s">
        <v>292</v>
      </c>
      <c r="I7" s="266" t="s">
        <v>294</v>
      </c>
      <c r="J7" s="266" t="s">
        <v>440</v>
      </c>
      <c r="K7" s="267" t="s">
        <v>295</v>
      </c>
    </row>
    <row r="8" spans="1:15" x14ac:dyDescent="0.35">
      <c r="A8" s="243">
        <v>1</v>
      </c>
      <c r="B8" s="222" t="s">
        <v>14</v>
      </c>
      <c r="C8" s="512">
        <v>8</v>
      </c>
      <c r="D8" s="1446">
        <v>0</v>
      </c>
      <c r="E8" s="271">
        <v>0</v>
      </c>
      <c r="F8" s="271">
        <v>2</v>
      </c>
      <c r="G8" s="271">
        <v>5</v>
      </c>
      <c r="H8" s="271">
        <v>0</v>
      </c>
      <c r="I8" s="271">
        <v>1</v>
      </c>
      <c r="J8" s="272">
        <v>0</v>
      </c>
      <c r="K8" s="984">
        <f>SUM(D8:J8)</f>
        <v>8</v>
      </c>
    </row>
    <row r="9" spans="1:15" x14ac:dyDescent="0.35">
      <c r="A9" s="245">
        <v>2</v>
      </c>
      <c r="B9" s="224" t="s">
        <v>15</v>
      </c>
      <c r="C9" s="509">
        <v>5</v>
      </c>
      <c r="D9" s="503">
        <v>0</v>
      </c>
      <c r="E9" s="282">
        <v>0</v>
      </c>
      <c r="F9" s="282">
        <v>2</v>
      </c>
      <c r="G9" s="282">
        <v>0</v>
      </c>
      <c r="H9" s="282">
        <v>0</v>
      </c>
      <c r="I9" s="282">
        <v>0</v>
      </c>
      <c r="J9" s="283">
        <v>0</v>
      </c>
      <c r="K9" s="985">
        <f t="shared" ref="K9:K22" si="0">SUM(D9:J9)</f>
        <v>2</v>
      </c>
      <c r="O9" s="215" t="s">
        <v>108</v>
      </c>
    </row>
    <row r="10" spans="1:15" x14ac:dyDescent="0.35">
      <c r="A10" s="245">
        <v>3</v>
      </c>
      <c r="B10" s="224" t="s">
        <v>16</v>
      </c>
      <c r="C10" s="509">
        <v>8</v>
      </c>
      <c r="D10" s="503">
        <v>7</v>
      </c>
      <c r="E10" s="282">
        <v>7</v>
      </c>
      <c r="F10" s="282">
        <v>8</v>
      </c>
      <c r="G10" s="282">
        <v>0</v>
      </c>
      <c r="H10" s="282">
        <v>0</v>
      </c>
      <c r="I10" s="282">
        <v>0</v>
      </c>
      <c r="J10" s="283">
        <v>1</v>
      </c>
      <c r="K10" s="985">
        <f t="shared" si="0"/>
        <v>23</v>
      </c>
    </row>
    <row r="11" spans="1:15" x14ac:dyDescent="0.35">
      <c r="A11" s="245">
        <v>4</v>
      </c>
      <c r="B11" s="224" t="s">
        <v>17</v>
      </c>
      <c r="C11" s="509">
        <v>0</v>
      </c>
      <c r="D11" s="503">
        <v>0</v>
      </c>
      <c r="E11" s="282">
        <v>0</v>
      </c>
      <c r="F11" s="282">
        <v>0</v>
      </c>
      <c r="G11" s="282">
        <v>0</v>
      </c>
      <c r="H11" s="282">
        <v>0</v>
      </c>
      <c r="I11" s="282">
        <v>0</v>
      </c>
      <c r="J11" s="283">
        <v>0</v>
      </c>
      <c r="K11" s="985">
        <f t="shared" si="0"/>
        <v>0</v>
      </c>
    </row>
    <row r="12" spans="1:15" x14ac:dyDescent="0.35">
      <c r="A12" s="245">
        <v>5</v>
      </c>
      <c r="B12" s="224" t="s">
        <v>18</v>
      </c>
      <c r="C12" s="509">
        <v>3</v>
      </c>
      <c r="D12" s="503">
        <v>0</v>
      </c>
      <c r="E12" s="282">
        <v>0</v>
      </c>
      <c r="F12" s="282">
        <v>0</v>
      </c>
      <c r="G12" s="282">
        <v>2</v>
      </c>
      <c r="H12" s="282">
        <v>0</v>
      </c>
      <c r="I12" s="282">
        <v>2</v>
      </c>
      <c r="J12" s="283">
        <v>1</v>
      </c>
      <c r="K12" s="985">
        <f t="shared" si="0"/>
        <v>5</v>
      </c>
    </row>
    <row r="13" spans="1:15" x14ac:dyDescent="0.35">
      <c r="A13" s="247">
        <v>6</v>
      </c>
      <c r="B13" s="226" t="s">
        <v>19</v>
      </c>
      <c r="C13" s="509">
        <v>5</v>
      </c>
      <c r="D13" s="503">
        <v>0</v>
      </c>
      <c r="E13" s="282">
        <v>0</v>
      </c>
      <c r="F13" s="282">
        <v>1</v>
      </c>
      <c r="G13" s="282">
        <v>5</v>
      </c>
      <c r="H13" s="282">
        <v>0</v>
      </c>
      <c r="I13" s="282">
        <v>0</v>
      </c>
      <c r="J13" s="283">
        <v>2</v>
      </c>
      <c r="K13" s="985">
        <f t="shared" si="0"/>
        <v>8</v>
      </c>
    </row>
    <row r="14" spans="1:15" x14ac:dyDescent="0.35">
      <c r="A14" s="247">
        <v>7</v>
      </c>
      <c r="B14" s="226" t="s">
        <v>20</v>
      </c>
      <c r="C14" s="509">
        <v>0</v>
      </c>
      <c r="D14" s="503">
        <v>6</v>
      </c>
      <c r="E14" s="282">
        <v>0</v>
      </c>
      <c r="F14" s="282">
        <v>3</v>
      </c>
      <c r="G14" s="282">
        <v>0</v>
      </c>
      <c r="H14" s="282">
        <v>0</v>
      </c>
      <c r="I14" s="282">
        <v>0</v>
      </c>
      <c r="J14" s="283">
        <v>5</v>
      </c>
      <c r="K14" s="985">
        <f t="shared" si="0"/>
        <v>14</v>
      </c>
      <c r="N14" s="215" t="s">
        <v>108</v>
      </c>
    </row>
    <row r="15" spans="1:15" x14ac:dyDescent="0.35">
      <c r="A15" s="245">
        <v>8</v>
      </c>
      <c r="B15" s="224" t="s">
        <v>21</v>
      </c>
      <c r="C15" s="509">
        <v>10</v>
      </c>
      <c r="D15" s="503">
        <v>1</v>
      </c>
      <c r="E15" s="282">
        <v>0</v>
      </c>
      <c r="F15" s="282">
        <v>0</v>
      </c>
      <c r="G15" s="282">
        <v>9</v>
      </c>
      <c r="H15" s="282">
        <v>0</v>
      </c>
      <c r="I15" s="282">
        <v>0</v>
      </c>
      <c r="J15" s="283">
        <v>4</v>
      </c>
      <c r="K15" s="985">
        <f t="shared" si="0"/>
        <v>14</v>
      </c>
    </row>
    <row r="16" spans="1:15" x14ac:dyDescent="0.35">
      <c r="A16" s="245">
        <v>9</v>
      </c>
      <c r="B16" s="224" t="s">
        <v>22</v>
      </c>
      <c r="C16" s="509">
        <v>14</v>
      </c>
      <c r="D16" s="503">
        <v>4</v>
      </c>
      <c r="E16" s="282">
        <v>8</v>
      </c>
      <c r="F16" s="282">
        <v>11</v>
      </c>
      <c r="G16" s="282">
        <v>4</v>
      </c>
      <c r="H16" s="282">
        <v>0</v>
      </c>
      <c r="I16" s="282">
        <v>3</v>
      </c>
      <c r="J16" s="283">
        <v>5</v>
      </c>
      <c r="K16" s="985">
        <f t="shared" si="0"/>
        <v>35</v>
      </c>
    </row>
    <row r="17" spans="1:13" x14ac:dyDescent="0.35">
      <c r="A17" s="245">
        <v>10</v>
      </c>
      <c r="B17" s="224" t="s">
        <v>23</v>
      </c>
      <c r="C17" s="509">
        <v>9</v>
      </c>
      <c r="D17" s="503">
        <v>3</v>
      </c>
      <c r="E17" s="282">
        <v>0</v>
      </c>
      <c r="F17" s="282">
        <v>1</v>
      </c>
      <c r="G17" s="282">
        <v>5</v>
      </c>
      <c r="H17" s="282">
        <v>0</v>
      </c>
      <c r="I17" s="282">
        <v>0</v>
      </c>
      <c r="J17" s="283">
        <v>3</v>
      </c>
      <c r="K17" s="985">
        <f t="shared" si="0"/>
        <v>12</v>
      </c>
    </row>
    <row r="18" spans="1:13" x14ac:dyDescent="0.35">
      <c r="A18" s="247">
        <v>11</v>
      </c>
      <c r="B18" s="226" t="s">
        <v>24</v>
      </c>
      <c r="C18" s="509">
        <v>8</v>
      </c>
      <c r="D18" s="503">
        <v>0</v>
      </c>
      <c r="E18" s="282">
        <v>0</v>
      </c>
      <c r="F18" s="282">
        <v>0</v>
      </c>
      <c r="G18" s="282">
        <v>0</v>
      </c>
      <c r="H18" s="282">
        <v>0</v>
      </c>
      <c r="I18" s="282">
        <v>0</v>
      </c>
      <c r="J18" s="283">
        <v>0</v>
      </c>
      <c r="K18" s="985">
        <f t="shared" si="0"/>
        <v>0</v>
      </c>
    </row>
    <row r="19" spans="1:13" x14ac:dyDescent="0.35">
      <c r="A19" s="245">
        <v>12</v>
      </c>
      <c r="B19" s="224" t="s">
        <v>25</v>
      </c>
      <c r="C19" s="509">
        <v>3</v>
      </c>
      <c r="D19" s="503">
        <v>1</v>
      </c>
      <c r="E19" s="282">
        <v>0</v>
      </c>
      <c r="F19" s="282">
        <v>0</v>
      </c>
      <c r="G19" s="282">
        <v>1</v>
      </c>
      <c r="H19" s="282">
        <v>0</v>
      </c>
      <c r="I19" s="282">
        <v>1</v>
      </c>
      <c r="J19" s="283">
        <v>0</v>
      </c>
      <c r="K19" s="985">
        <f t="shared" si="0"/>
        <v>3</v>
      </c>
    </row>
    <row r="20" spans="1:13" x14ac:dyDescent="0.35">
      <c r="A20" s="245">
        <v>13</v>
      </c>
      <c r="B20" s="224" t="s">
        <v>26</v>
      </c>
      <c r="C20" s="509">
        <v>1</v>
      </c>
      <c r="D20" s="503">
        <v>0</v>
      </c>
      <c r="E20" s="282">
        <v>0</v>
      </c>
      <c r="F20" s="282">
        <v>1</v>
      </c>
      <c r="G20" s="282">
        <v>0</v>
      </c>
      <c r="H20" s="282">
        <v>1</v>
      </c>
      <c r="I20" s="282">
        <v>0</v>
      </c>
      <c r="J20" s="283">
        <v>0</v>
      </c>
      <c r="K20" s="985">
        <f t="shared" si="0"/>
        <v>2</v>
      </c>
    </row>
    <row r="21" spans="1:13" x14ac:dyDescent="0.35">
      <c r="A21" s="245">
        <v>14</v>
      </c>
      <c r="B21" s="224" t="s">
        <v>27</v>
      </c>
      <c r="C21" s="509">
        <v>6</v>
      </c>
      <c r="D21" s="503">
        <v>2</v>
      </c>
      <c r="E21" s="282">
        <v>0</v>
      </c>
      <c r="F21" s="282">
        <v>2</v>
      </c>
      <c r="G21" s="282">
        <v>1</v>
      </c>
      <c r="H21" s="282">
        <v>0</v>
      </c>
      <c r="I21" s="282">
        <v>2</v>
      </c>
      <c r="J21" s="283">
        <v>1</v>
      </c>
      <c r="K21" s="985">
        <f t="shared" si="0"/>
        <v>8</v>
      </c>
      <c r="L21" s="287"/>
    </row>
    <row r="22" spans="1:13" ht="14.6" thickBot="1" x14ac:dyDescent="0.4">
      <c r="A22" s="248">
        <v>15</v>
      </c>
      <c r="B22" s="227" t="s">
        <v>28</v>
      </c>
      <c r="C22" s="513">
        <v>7</v>
      </c>
      <c r="D22" s="666">
        <v>3</v>
      </c>
      <c r="E22" s="514">
        <v>1</v>
      </c>
      <c r="F22" s="514">
        <v>0</v>
      </c>
      <c r="G22" s="514">
        <v>0</v>
      </c>
      <c r="H22" s="514">
        <v>0</v>
      </c>
      <c r="I22" s="514">
        <v>1</v>
      </c>
      <c r="J22" s="515">
        <v>5</v>
      </c>
      <c r="K22" s="986">
        <f t="shared" si="0"/>
        <v>10</v>
      </c>
    </row>
    <row r="23" spans="1:13" s="254" customFormat="1" x14ac:dyDescent="0.35">
      <c r="A23" s="250"/>
      <c r="B23" s="498" t="s">
        <v>541</v>
      </c>
      <c r="C23" s="1063">
        <f>SUM(C8:C22)</f>
        <v>87</v>
      </c>
      <c r="D23" s="502">
        <f t="shared" ref="D23:K23" si="1">SUM(D8:D22)</f>
        <v>27</v>
      </c>
      <c r="E23" s="279">
        <f t="shared" si="1"/>
        <v>16</v>
      </c>
      <c r="F23" s="279">
        <f t="shared" si="1"/>
        <v>31</v>
      </c>
      <c r="G23" s="279">
        <f t="shared" si="1"/>
        <v>32</v>
      </c>
      <c r="H23" s="279">
        <f t="shared" si="1"/>
        <v>1</v>
      </c>
      <c r="I23" s="279">
        <f t="shared" si="1"/>
        <v>10</v>
      </c>
      <c r="J23" s="496">
        <f t="shared" si="1"/>
        <v>27</v>
      </c>
      <c r="K23" s="508">
        <f t="shared" si="1"/>
        <v>144</v>
      </c>
      <c r="M23" s="288"/>
    </row>
    <row r="24" spans="1:13" s="418" customFormat="1" x14ac:dyDescent="0.35">
      <c r="A24" s="1026"/>
      <c r="B24" s="499" t="s">
        <v>463</v>
      </c>
      <c r="C24" s="667">
        <v>83</v>
      </c>
      <c r="D24" s="503">
        <v>27</v>
      </c>
      <c r="E24" s="282">
        <v>1</v>
      </c>
      <c r="F24" s="282">
        <v>19</v>
      </c>
      <c r="G24" s="282">
        <v>33</v>
      </c>
      <c r="H24" s="282">
        <v>2</v>
      </c>
      <c r="I24" s="282">
        <v>13</v>
      </c>
      <c r="J24" s="497">
        <v>18</v>
      </c>
      <c r="K24" s="509">
        <v>113</v>
      </c>
      <c r="M24" s="370"/>
    </row>
    <row r="25" spans="1:13" s="368" customFormat="1" x14ac:dyDescent="0.35">
      <c r="A25" s="419"/>
      <c r="B25" s="499" t="s">
        <v>415</v>
      </c>
      <c r="C25" s="667">
        <v>71</v>
      </c>
      <c r="D25" s="503">
        <v>25</v>
      </c>
      <c r="E25" s="282">
        <v>2</v>
      </c>
      <c r="F25" s="282">
        <v>16</v>
      </c>
      <c r="G25" s="282">
        <v>31</v>
      </c>
      <c r="H25" s="282">
        <v>0</v>
      </c>
      <c r="I25" s="282">
        <v>15</v>
      </c>
      <c r="J25" s="497">
        <v>21</v>
      </c>
      <c r="K25" s="509">
        <v>110</v>
      </c>
      <c r="M25" s="370"/>
    </row>
    <row r="26" spans="1:13" s="368" customFormat="1" x14ac:dyDescent="0.35">
      <c r="A26" s="419"/>
      <c r="B26" s="499" t="s">
        <v>367</v>
      </c>
      <c r="C26" s="667">
        <v>104</v>
      </c>
      <c r="D26" s="503">
        <v>21</v>
      </c>
      <c r="E26" s="282">
        <v>4</v>
      </c>
      <c r="F26" s="282">
        <v>13</v>
      </c>
      <c r="G26" s="282">
        <v>39</v>
      </c>
      <c r="H26" s="282">
        <v>4</v>
      </c>
      <c r="I26" s="282">
        <v>7</v>
      </c>
      <c r="J26" s="497">
        <v>18</v>
      </c>
      <c r="K26" s="509">
        <v>106</v>
      </c>
      <c r="M26" s="370"/>
    </row>
    <row r="27" spans="1:13" s="368" customFormat="1" ht="14.6" thickBot="1" x14ac:dyDescent="0.4">
      <c r="A27" s="738"/>
      <c r="B27" s="739" t="s">
        <v>334</v>
      </c>
      <c r="C27" s="1064">
        <v>75</v>
      </c>
      <c r="D27" s="666">
        <v>15</v>
      </c>
      <c r="E27" s="514">
        <v>5</v>
      </c>
      <c r="F27" s="514">
        <v>23</v>
      </c>
      <c r="G27" s="514">
        <v>41</v>
      </c>
      <c r="H27" s="514">
        <v>0</v>
      </c>
      <c r="I27" s="514">
        <v>16</v>
      </c>
      <c r="J27" s="743">
        <v>17</v>
      </c>
      <c r="K27" s="513">
        <v>117</v>
      </c>
      <c r="M27" s="370"/>
    </row>
    <row r="28" spans="1:13" s="368" customFormat="1" x14ac:dyDescent="0.35">
      <c r="A28" s="419"/>
      <c r="B28" s="499" t="s">
        <v>300</v>
      </c>
      <c r="C28" s="667">
        <v>81</v>
      </c>
      <c r="D28" s="503">
        <v>15</v>
      </c>
      <c r="E28" s="282">
        <v>7</v>
      </c>
      <c r="F28" s="282">
        <v>10</v>
      </c>
      <c r="G28" s="282">
        <v>40</v>
      </c>
      <c r="H28" s="282">
        <v>7</v>
      </c>
      <c r="I28" s="282">
        <v>8</v>
      </c>
      <c r="J28" s="497">
        <v>21</v>
      </c>
      <c r="K28" s="509">
        <v>108</v>
      </c>
      <c r="M28" s="370"/>
    </row>
    <row r="29" spans="1:13" s="368" customFormat="1" ht="14.6" thickBot="1" x14ac:dyDescent="0.4">
      <c r="A29" s="738"/>
      <c r="B29" s="739" t="s">
        <v>155</v>
      </c>
      <c r="C29" s="1064">
        <v>145</v>
      </c>
      <c r="D29" s="666">
        <v>44</v>
      </c>
      <c r="E29" s="514">
        <v>5</v>
      </c>
      <c r="F29" s="514">
        <v>13</v>
      </c>
      <c r="G29" s="514">
        <v>72</v>
      </c>
      <c r="H29" s="514">
        <v>1</v>
      </c>
      <c r="I29" s="514">
        <v>22</v>
      </c>
      <c r="J29" s="743">
        <v>24</v>
      </c>
      <c r="K29" s="513">
        <v>181</v>
      </c>
      <c r="M29" s="370"/>
    </row>
    <row r="30" spans="1:13" x14ac:dyDescent="0.35">
      <c r="A30" s="215" t="s">
        <v>163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0">
    <tabColor rgb="FFFF0000"/>
  </sheetPr>
  <dimension ref="A1:AC40"/>
  <sheetViews>
    <sheetView showGridLines="0" zoomScaleNormal="100" workbookViewId="0">
      <selection activeCell="J5" sqref="J5"/>
    </sheetView>
  </sheetViews>
  <sheetFormatPr baseColWidth="10" defaultColWidth="11.4609375" defaultRowHeight="12.45" x14ac:dyDescent="0.3"/>
  <cols>
    <col min="1" max="1" width="7" style="85" customWidth="1"/>
    <col min="2" max="2" width="21.07421875" style="85" customWidth="1"/>
    <col min="3" max="3" width="11.4609375" style="85" customWidth="1"/>
    <col min="4" max="14" width="11.4609375" style="85"/>
    <col min="15" max="15" width="9.4609375" style="85" customWidth="1"/>
    <col min="16" max="16384" width="11.4609375" style="85"/>
  </cols>
  <sheetData>
    <row r="1" spans="1:29" x14ac:dyDescent="0.3">
      <c r="A1" s="187"/>
      <c r="B1" s="188"/>
    </row>
    <row r="2" spans="1:29" x14ac:dyDescent="0.3">
      <c r="A2" s="189" t="s">
        <v>0</v>
      </c>
    </row>
    <row r="3" spans="1:29" x14ac:dyDescent="0.3">
      <c r="A3" s="214"/>
    </row>
    <row r="4" spans="1:29" x14ac:dyDescent="0.3">
      <c r="A4" s="189" t="str">
        <f>A7</f>
        <v>Tabell 3-3 - B - Gjennomsnittlig antall oppholdsdøgn i sykehjem for beboere som har avsluttet sitt opphold hittil i år.</v>
      </c>
    </row>
    <row r="5" spans="1:29" x14ac:dyDescent="0.3">
      <c r="A5" s="214"/>
    </row>
    <row r="6" spans="1:29" x14ac:dyDescent="0.3">
      <c r="A6" s="214"/>
    </row>
    <row r="7" spans="1:29" ht="20.25" customHeight="1" thickBot="1" x14ac:dyDescent="0.35">
      <c r="A7" s="7" t="s">
        <v>378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</row>
    <row r="8" spans="1:29" ht="13.5" customHeight="1" thickBot="1" x14ac:dyDescent="0.35">
      <c r="A8" s="289"/>
      <c r="B8" s="231"/>
      <c r="C8" s="1661" t="s">
        <v>37</v>
      </c>
      <c r="D8" s="1661"/>
      <c r="E8" s="1661"/>
      <c r="F8" s="1662"/>
      <c r="G8" s="1662"/>
      <c r="H8" s="1661" t="s">
        <v>40</v>
      </c>
      <c r="I8" s="1661"/>
      <c r="J8" s="1661"/>
      <c r="K8" s="1662"/>
      <c r="L8" s="1662"/>
    </row>
    <row r="9" spans="1:29" ht="131.25" customHeight="1" thickBot="1" x14ac:dyDescent="0.4">
      <c r="A9" s="290" t="s">
        <v>39</v>
      </c>
      <c r="B9" s="291" t="s">
        <v>3</v>
      </c>
      <c r="C9" s="1178" t="s">
        <v>167</v>
      </c>
      <c r="D9" s="1179" t="s">
        <v>130</v>
      </c>
      <c r="E9" s="1180" t="s">
        <v>168</v>
      </c>
      <c r="F9" s="1177" t="s">
        <v>379</v>
      </c>
      <c r="G9" s="1181" t="s">
        <v>380</v>
      </c>
      <c r="H9" s="1178" t="s">
        <v>166</v>
      </c>
      <c r="I9" s="1179" t="s">
        <v>130</v>
      </c>
      <c r="J9" s="1180" t="s">
        <v>381</v>
      </c>
      <c r="K9" s="1177" t="s">
        <v>382</v>
      </c>
      <c r="L9" s="292" t="s">
        <v>380</v>
      </c>
      <c r="N9" s="415"/>
      <c r="O9" s="415"/>
      <c r="P9" s="415"/>
      <c r="Q9" s="402"/>
      <c r="R9" s="402"/>
      <c r="S9" s="402"/>
      <c r="T9" s="401"/>
      <c r="U9" s="402"/>
      <c r="V9" s="401"/>
      <c r="W9" s="401"/>
      <c r="X9" s="402"/>
      <c r="Y9" s="402"/>
      <c r="Z9" s="402"/>
      <c r="AA9" s="402"/>
      <c r="AB9" s="402"/>
      <c r="AC9" s="402"/>
    </row>
    <row r="10" spans="1:29" ht="14.15" x14ac:dyDescent="0.35">
      <c r="A10" s="233">
        <v>1</v>
      </c>
      <c r="B10" s="207" t="s">
        <v>14</v>
      </c>
      <c r="C10" s="837">
        <v>63</v>
      </c>
      <c r="D10" s="992" t="s">
        <v>101</v>
      </c>
      <c r="E10" s="838">
        <v>55610</v>
      </c>
      <c r="F10" s="838">
        <v>899</v>
      </c>
      <c r="G10" s="992" t="s">
        <v>101</v>
      </c>
      <c r="H10" s="837">
        <v>192</v>
      </c>
      <c r="I10" s="992">
        <v>295</v>
      </c>
      <c r="J10" s="838">
        <v>7861</v>
      </c>
      <c r="K10" s="987">
        <v>27</v>
      </c>
      <c r="L10" s="838">
        <v>41</v>
      </c>
      <c r="N10" s="415"/>
      <c r="O10" s="415"/>
      <c r="P10" s="415"/>
      <c r="Q10" s="402"/>
      <c r="R10" s="402"/>
      <c r="S10" s="402"/>
      <c r="T10" s="401"/>
      <c r="U10" s="402"/>
      <c r="V10" s="401"/>
      <c r="W10" s="401"/>
      <c r="X10" s="402"/>
      <c r="Y10" s="402"/>
      <c r="Z10" s="402"/>
      <c r="AA10" s="402"/>
      <c r="AB10" s="402"/>
      <c r="AC10" s="402"/>
    </row>
    <row r="11" spans="1:29" ht="14.15" x14ac:dyDescent="0.35">
      <c r="A11" s="232">
        <v>2</v>
      </c>
      <c r="B11" s="204" t="s">
        <v>15</v>
      </c>
      <c r="C11" s="839">
        <v>59</v>
      </c>
      <c r="D11" s="991" t="s">
        <v>101</v>
      </c>
      <c r="E11" s="840">
        <v>62462</v>
      </c>
      <c r="F11" s="840">
        <v>1059</v>
      </c>
      <c r="G11" s="991" t="s">
        <v>101</v>
      </c>
      <c r="H11" s="839">
        <v>224</v>
      </c>
      <c r="I11" s="991">
        <v>337</v>
      </c>
      <c r="J11" s="840">
        <v>7973</v>
      </c>
      <c r="K11" s="988">
        <v>24</v>
      </c>
      <c r="L11" s="840">
        <v>36</v>
      </c>
      <c r="M11" s="415"/>
      <c r="N11" s="415"/>
      <c r="O11" s="415"/>
      <c r="P11" s="415"/>
      <c r="Q11" s="402"/>
      <c r="R11" s="402"/>
      <c r="S11" s="402"/>
      <c r="T11" s="401"/>
      <c r="U11" s="402"/>
      <c r="V11" s="401"/>
      <c r="W11" s="401"/>
      <c r="X11" s="402"/>
      <c r="Y11" s="402"/>
      <c r="Z11" s="402"/>
      <c r="AA11" s="402"/>
      <c r="AB11" s="402"/>
      <c r="AC11" s="402"/>
    </row>
    <row r="12" spans="1:29" ht="14.15" x14ac:dyDescent="0.35">
      <c r="A12" s="232">
        <v>3</v>
      </c>
      <c r="B12" s="204" t="s">
        <v>16</v>
      </c>
      <c r="C12" s="839">
        <v>55</v>
      </c>
      <c r="D12" s="991" t="s">
        <v>101</v>
      </c>
      <c r="E12" s="840">
        <v>53992</v>
      </c>
      <c r="F12" s="840">
        <v>982</v>
      </c>
      <c r="G12" s="991" t="s">
        <v>101</v>
      </c>
      <c r="H12" s="839">
        <v>235</v>
      </c>
      <c r="I12" s="991">
        <v>384</v>
      </c>
      <c r="J12" s="840">
        <v>10478</v>
      </c>
      <c r="K12" s="988">
        <v>27</v>
      </c>
      <c r="L12" s="840">
        <v>45</v>
      </c>
      <c r="M12" s="415"/>
      <c r="N12" s="415"/>
      <c r="O12" s="415"/>
      <c r="P12" s="415"/>
      <c r="Q12" s="402"/>
      <c r="R12" s="402"/>
      <c r="S12" s="402"/>
      <c r="T12" s="401"/>
      <c r="U12" s="402"/>
      <c r="V12" s="401"/>
      <c r="W12" s="401"/>
      <c r="X12" s="402"/>
      <c r="Y12" s="402"/>
      <c r="Z12" s="402"/>
      <c r="AA12" s="402"/>
      <c r="AB12" s="402"/>
      <c r="AC12" s="402"/>
    </row>
    <row r="13" spans="1:29" ht="14.15" x14ac:dyDescent="0.35">
      <c r="A13" s="232">
        <v>4</v>
      </c>
      <c r="B13" s="204" t="s">
        <v>17</v>
      </c>
      <c r="C13" s="839">
        <v>38</v>
      </c>
      <c r="D13" s="991" t="s">
        <v>101</v>
      </c>
      <c r="E13" s="840">
        <v>30508</v>
      </c>
      <c r="F13" s="840">
        <v>803</v>
      </c>
      <c r="G13" s="991" t="s">
        <v>101</v>
      </c>
      <c r="H13" s="839">
        <v>136</v>
      </c>
      <c r="I13" s="991">
        <v>193</v>
      </c>
      <c r="J13" s="840">
        <v>4048</v>
      </c>
      <c r="K13" s="988">
        <v>21</v>
      </c>
      <c r="L13" s="840">
        <v>29</v>
      </c>
      <c r="M13" s="415"/>
      <c r="N13" s="415"/>
      <c r="O13" s="415"/>
      <c r="P13" s="415"/>
      <c r="Q13" s="402"/>
      <c r="R13" s="402"/>
      <c r="S13" s="402"/>
      <c r="T13" s="401"/>
      <c r="U13" s="402"/>
      <c r="V13" s="401"/>
      <c r="W13" s="401"/>
      <c r="X13" s="402"/>
      <c r="Y13" s="402"/>
      <c r="Z13" s="402"/>
      <c r="AA13" s="402"/>
      <c r="AB13" s="402"/>
      <c r="AC13" s="402"/>
    </row>
    <row r="14" spans="1:29" ht="14.15" x14ac:dyDescent="0.35">
      <c r="A14" s="232">
        <v>5</v>
      </c>
      <c r="B14" s="204" t="s">
        <v>18</v>
      </c>
      <c r="C14" s="839">
        <v>147</v>
      </c>
      <c r="D14" s="991" t="s">
        <v>101</v>
      </c>
      <c r="E14" s="840">
        <v>142016</v>
      </c>
      <c r="F14" s="840">
        <v>966</v>
      </c>
      <c r="G14" s="991" t="s">
        <v>101</v>
      </c>
      <c r="H14" s="839">
        <v>357</v>
      </c>
      <c r="I14" s="991">
        <v>532</v>
      </c>
      <c r="J14" s="840">
        <v>11539</v>
      </c>
      <c r="K14" s="988">
        <v>22</v>
      </c>
      <c r="L14" s="840">
        <v>32</v>
      </c>
      <c r="M14" s="415"/>
      <c r="N14" s="415"/>
      <c r="O14" s="415"/>
      <c r="P14" s="415"/>
      <c r="Q14" s="402"/>
      <c r="R14" s="402"/>
      <c r="S14" s="402"/>
      <c r="T14" s="401"/>
      <c r="U14" s="402"/>
      <c r="V14" s="401"/>
      <c r="W14" s="401"/>
      <c r="X14" s="402"/>
      <c r="Y14" s="402"/>
      <c r="Z14" s="402"/>
      <c r="AA14" s="402"/>
      <c r="AB14" s="402"/>
      <c r="AC14" s="402"/>
    </row>
    <row r="15" spans="1:29" ht="14.15" x14ac:dyDescent="0.35">
      <c r="A15" s="232">
        <v>6</v>
      </c>
      <c r="B15" s="204" t="s">
        <v>19</v>
      </c>
      <c r="C15" s="839">
        <v>125</v>
      </c>
      <c r="D15" s="991" t="s">
        <v>101</v>
      </c>
      <c r="E15" s="840">
        <v>110349</v>
      </c>
      <c r="F15" s="840">
        <v>883</v>
      </c>
      <c r="G15" s="991" t="s">
        <v>101</v>
      </c>
      <c r="H15" s="839">
        <v>311</v>
      </c>
      <c r="I15" s="991">
        <v>525</v>
      </c>
      <c r="J15" s="840">
        <v>12081</v>
      </c>
      <c r="K15" s="988">
        <v>23</v>
      </c>
      <c r="L15" s="840">
        <v>39</v>
      </c>
      <c r="M15" s="415"/>
      <c r="N15" s="415"/>
      <c r="O15" s="415"/>
      <c r="P15" s="415"/>
      <c r="Q15" s="402"/>
      <c r="R15" s="402"/>
      <c r="S15" s="402"/>
      <c r="T15" s="401"/>
      <c r="U15" s="402"/>
      <c r="V15" s="401"/>
      <c r="W15" s="401"/>
      <c r="X15" s="402"/>
      <c r="Y15" s="402"/>
      <c r="Z15" s="402"/>
      <c r="AA15" s="402"/>
      <c r="AB15" s="402"/>
      <c r="AC15" s="402"/>
    </row>
    <row r="16" spans="1:29" ht="14.15" x14ac:dyDescent="0.35">
      <c r="A16" s="232">
        <v>7</v>
      </c>
      <c r="B16" s="204" t="s">
        <v>20</v>
      </c>
      <c r="C16" s="839">
        <v>132</v>
      </c>
      <c r="D16" s="991" t="s">
        <v>101</v>
      </c>
      <c r="E16" s="840">
        <v>122793</v>
      </c>
      <c r="F16" s="840">
        <v>930</v>
      </c>
      <c r="G16" s="991" t="s">
        <v>101</v>
      </c>
      <c r="H16" s="839">
        <v>386</v>
      </c>
      <c r="I16" s="991">
        <v>700</v>
      </c>
      <c r="J16" s="840">
        <v>12041</v>
      </c>
      <c r="K16" s="988">
        <v>17</v>
      </c>
      <c r="L16" s="840">
        <v>31</v>
      </c>
      <c r="M16" s="415"/>
      <c r="N16" s="415"/>
      <c r="O16" s="415"/>
      <c r="P16" s="415"/>
      <c r="Q16" s="402"/>
      <c r="R16" s="402"/>
      <c r="S16" s="402"/>
      <c r="T16" s="401"/>
      <c r="U16" s="402"/>
      <c r="V16" s="401"/>
      <c r="W16" s="401"/>
      <c r="X16" s="402"/>
      <c r="Y16" s="402"/>
      <c r="Z16" s="402"/>
      <c r="AA16" s="402"/>
      <c r="AB16" s="402"/>
      <c r="AC16" s="402"/>
    </row>
    <row r="17" spans="1:29" ht="14.15" x14ac:dyDescent="0.35">
      <c r="A17" s="232">
        <v>8</v>
      </c>
      <c r="B17" s="204" t="s">
        <v>21</v>
      </c>
      <c r="C17" s="839">
        <v>121</v>
      </c>
      <c r="D17" s="991" t="s">
        <v>101</v>
      </c>
      <c r="E17" s="1472">
        <v>106481</v>
      </c>
      <c r="F17" s="840">
        <v>880</v>
      </c>
      <c r="G17" s="991" t="s">
        <v>101</v>
      </c>
      <c r="H17" s="839">
        <v>296</v>
      </c>
      <c r="I17" s="991">
        <v>418</v>
      </c>
      <c r="J17" s="840">
        <v>10286</v>
      </c>
      <c r="K17" s="988">
        <v>25</v>
      </c>
      <c r="L17" s="840">
        <v>35</v>
      </c>
      <c r="M17" s="122" t="s">
        <v>554</v>
      </c>
      <c r="N17" s="415"/>
      <c r="O17" s="415"/>
      <c r="P17" s="415"/>
      <c r="Q17" s="402"/>
      <c r="R17" s="402"/>
      <c r="S17" s="402"/>
      <c r="T17" s="401"/>
      <c r="U17" s="402"/>
      <c r="V17" s="401"/>
      <c r="W17" s="401"/>
      <c r="X17" s="402"/>
      <c r="Y17" s="402"/>
      <c r="Z17" s="402"/>
      <c r="AA17" s="402"/>
      <c r="AB17" s="402"/>
      <c r="AC17" s="402"/>
    </row>
    <row r="18" spans="1:29" ht="14.15" x14ac:dyDescent="0.35">
      <c r="A18" s="232">
        <v>9</v>
      </c>
      <c r="B18" s="204" t="s">
        <v>22</v>
      </c>
      <c r="C18" s="839">
        <v>62</v>
      </c>
      <c r="D18" s="991" t="s">
        <v>101</v>
      </c>
      <c r="E18" s="840">
        <v>60501</v>
      </c>
      <c r="F18" s="840">
        <v>976</v>
      </c>
      <c r="G18" s="991" t="s">
        <v>101</v>
      </c>
      <c r="H18" s="839">
        <v>230</v>
      </c>
      <c r="I18" s="991">
        <v>360</v>
      </c>
      <c r="J18" s="840">
        <v>11746</v>
      </c>
      <c r="K18" s="988">
        <v>33</v>
      </c>
      <c r="L18" s="840">
        <v>51</v>
      </c>
      <c r="M18" s="415"/>
      <c r="N18" s="415"/>
      <c r="O18" s="415"/>
      <c r="P18" s="415"/>
      <c r="Q18" s="402"/>
      <c r="R18" s="402"/>
      <c r="S18" s="402" t="s">
        <v>108</v>
      </c>
      <c r="T18" s="401"/>
      <c r="U18" s="402"/>
      <c r="V18" s="401"/>
      <c r="W18" s="401"/>
      <c r="X18" s="402"/>
      <c r="Y18" s="402"/>
      <c r="Z18" s="402"/>
      <c r="AA18" s="402"/>
      <c r="AB18" s="402"/>
      <c r="AC18" s="402"/>
    </row>
    <row r="19" spans="1:29" ht="14.15" x14ac:dyDescent="0.35">
      <c r="A19" s="232">
        <v>10</v>
      </c>
      <c r="B19" s="204" t="s">
        <v>23</v>
      </c>
      <c r="C19" s="839">
        <v>72</v>
      </c>
      <c r="D19" s="991" t="s">
        <v>101</v>
      </c>
      <c r="E19" s="840">
        <v>82566</v>
      </c>
      <c r="F19" s="840">
        <v>1147</v>
      </c>
      <c r="G19" s="991" t="s">
        <v>101</v>
      </c>
      <c r="H19" s="839">
        <v>231</v>
      </c>
      <c r="I19" s="991">
        <v>412</v>
      </c>
      <c r="J19" s="840">
        <v>7231</v>
      </c>
      <c r="K19" s="988">
        <v>18</v>
      </c>
      <c r="L19" s="840">
        <v>31</v>
      </c>
      <c r="M19" s="415"/>
      <c r="N19" s="415"/>
      <c r="O19" s="415"/>
      <c r="P19" s="415"/>
      <c r="Q19" s="402"/>
      <c r="R19" s="402"/>
      <c r="S19" s="402"/>
      <c r="T19" s="401"/>
      <c r="U19" s="402"/>
      <c r="V19" s="401"/>
      <c r="W19" s="401"/>
      <c r="X19" s="402"/>
      <c r="Y19" s="402"/>
      <c r="Z19" s="402"/>
      <c r="AA19" s="402"/>
      <c r="AB19" s="402"/>
      <c r="AC19" s="402"/>
    </row>
    <row r="20" spans="1:29" ht="14.15" x14ac:dyDescent="0.35">
      <c r="A20" s="232">
        <v>11</v>
      </c>
      <c r="B20" s="204" t="s">
        <v>24</v>
      </c>
      <c r="C20" s="839">
        <v>72</v>
      </c>
      <c r="D20" s="991" t="s">
        <v>101</v>
      </c>
      <c r="E20" s="840">
        <v>65247</v>
      </c>
      <c r="F20" s="840">
        <v>906</v>
      </c>
      <c r="G20" s="991" t="s">
        <v>101</v>
      </c>
      <c r="H20" s="839">
        <v>181</v>
      </c>
      <c r="I20" s="991">
        <v>285</v>
      </c>
      <c r="J20" s="840">
        <v>6478</v>
      </c>
      <c r="K20" s="988">
        <v>23</v>
      </c>
      <c r="L20" s="840">
        <v>36</v>
      </c>
      <c r="M20" s="415"/>
      <c r="N20" s="415"/>
      <c r="O20" s="415"/>
      <c r="P20" s="415"/>
      <c r="Q20" s="402"/>
      <c r="R20" s="402"/>
      <c r="S20" s="402"/>
      <c r="T20" s="401"/>
      <c r="U20" s="402"/>
      <c r="V20" s="401"/>
      <c r="W20" s="401"/>
      <c r="X20" s="402"/>
      <c r="Y20" s="402"/>
      <c r="Z20" s="402"/>
      <c r="AA20" s="402"/>
      <c r="AB20" s="402"/>
      <c r="AC20" s="402"/>
    </row>
    <row r="21" spans="1:29" ht="14.15" x14ac:dyDescent="0.35">
      <c r="A21" s="232">
        <v>12</v>
      </c>
      <c r="B21" s="204" t="s">
        <v>25</v>
      </c>
      <c r="C21" s="839">
        <v>115</v>
      </c>
      <c r="D21" s="991" t="s">
        <v>101</v>
      </c>
      <c r="E21" s="840">
        <v>148209</v>
      </c>
      <c r="F21" s="840">
        <v>1289</v>
      </c>
      <c r="G21" s="991" t="s">
        <v>101</v>
      </c>
      <c r="H21" s="839">
        <v>314</v>
      </c>
      <c r="I21" s="991">
        <v>528</v>
      </c>
      <c r="J21" s="840">
        <v>14828</v>
      </c>
      <c r="K21" s="988">
        <v>28</v>
      </c>
      <c r="L21" s="840">
        <v>47</v>
      </c>
      <c r="M21" s="415"/>
      <c r="N21" s="415"/>
      <c r="O21" s="415"/>
      <c r="P21" s="415"/>
      <c r="Q21" s="402"/>
      <c r="R21" s="402"/>
      <c r="S21" s="402"/>
      <c r="T21" s="401"/>
      <c r="U21" s="402"/>
      <c r="V21" s="401"/>
      <c r="W21" s="401"/>
      <c r="X21" s="402"/>
      <c r="Y21" s="402"/>
      <c r="Z21" s="402"/>
      <c r="AA21" s="402"/>
      <c r="AB21" s="402"/>
      <c r="AC21" s="402"/>
    </row>
    <row r="22" spans="1:29" ht="14.15" x14ac:dyDescent="0.35">
      <c r="A22" s="232">
        <v>13</v>
      </c>
      <c r="B22" s="204" t="s">
        <v>26</v>
      </c>
      <c r="C22" s="839">
        <v>209</v>
      </c>
      <c r="D22" s="991" t="s">
        <v>101</v>
      </c>
      <c r="E22" s="840">
        <v>197219</v>
      </c>
      <c r="F22" s="840">
        <v>944</v>
      </c>
      <c r="G22" s="991" t="s">
        <v>101</v>
      </c>
      <c r="H22" s="839">
        <v>499</v>
      </c>
      <c r="I22" s="991">
        <v>831</v>
      </c>
      <c r="J22" s="840">
        <v>20127</v>
      </c>
      <c r="K22" s="988">
        <v>24</v>
      </c>
      <c r="L22" s="840">
        <v>40</v>
      </c>
      <c r="M22" s="415"/>
      <c r="N22" s="415"/>
      <c r="O22" s="415"/>
      <c r="P22" s="415"/>
    </row>
    <row r="23" spans="1:29" ht="14.15" x14ac:dyDescent="0.35">
      <c r="A23" s="232">
        <v>14</v>
      </c>
      <c r="B23" s="204" t="s">
        <v>27</v>
      </c>
      <c r="C23" s="839">
        <v>150</v>
      </c>
      <c r="D23" s="991" t="s">
        <v>101</v>
      </c>
      <c r="E23" s="840">
        <v>152319</v>
      </c>
      <c r="F23" s="840">
        <v>1015</v>
      </c>
      <c r="G23" s="991" t="s">
        <v>101</v>
      </c>
      <c r="H23" s="839">
        <v>475</v>
      </c>
      <c r="I23" s="991">
        <v>715</v>
      </c>
      <c r="J23" s="840">
        <v>16886</v>
      </c>
      <c r="K23" s="988">
        <v>24</v>
      </c>
      <c r="L23" s="840">
        <v>36</v>
      </c>
      <c r="M23" s="415"/>
      <c r="N23" s="415"/>
      <c r="O23" s="415"/>
      <c r="P23" s="415"/>
    </row>
    <row r="24" spans="1:29" ht="14.6" thickBot="1" x14ac:dyDescent="0.4">
      <c r="A24" s="234">
        <v>15</v>
      </c>
      <c r="B24" s="209" t="s">
        <v>28</v>
      </c>
      <c r="C24" s="841">
        <v>37</v>
      </c>
      <c r="D24" s="993" t="s">
        <v>101</v>
      </c>
      <c r="E24" s="842">
        <v>31628</v>
      </c>
      <c r="F24" s="842">
        <v>855</v>
      </c>
      <c r="G24" s="993" t="s">
        <v>101</v>
      </c>
      <c r="H24" s="841">
        <v>172</v>
      </c>
      <c r="I24" s="993">
        <v>276</v>
      </c>
      <c r="J24" s="842">
        <v>5110</v>
      </c>
      <c r="K24" s="989">
        <v>19</v>
      </c>
      <c r="L24" s="842">
        <v>30</v>
      </c>
      <c r="M24" s="415"/>
      <c r="N24" s="415"/>
      <c r="O24" s="415"/>
      <c r="P24" s="415"/>
    </row>
    <row r="25" spans="1:29" ht="14.15" x14ac:dyDescent="0.35">
      <c r="A25" s="427"/>
      <c r="B25" s="428" t="s">
        <v>541</v>
      </c>
      <c r="C25" s="429">
        <f>SUM(C10:C24)</f>
        <v>1457</v>
      </c>
      <c r="D25" s="516" t="s">
        <v>101</v>
      </c>
      <c r="E25" s="430">
        <f>SUM(E10:E24)</f>
        <v>1421900</v>
      </c>
      <c r="F25" s="430">
        <f>E25/C25</f>
        <v>975.9094028826355</v>
      </c>
      <c r="G25" s="520" t="s">
        <v>101</v>
      </c>
      <c r="H25" s="990">
        <f>SUM(H10:H24)</f>
        <v>4239</v>
      </c>
      <c r="I25" s="835">
        <f>SUM(I10:I24)</f>
        <v>6791</v>
      </c>
      <c r="J25" s="835">
        <f>SUM(J10:J24)</f>
        <v>158713</v>
      </c>
      <c r="K25" s="835">
        <f>J25/H25</f>
        <v>37.441141778721395</v>
      </c>
      <c r="L25" s="836">
        <f>J25/I25</f>
        <v>23.371079369754085</v>
      </c>
      <c r="N25" s="415"/>
      <c r="O25" s="415"/>
      <c r="P25" s="415"/>
    </row>
    <row r="26" spans="1:29" ht="14.15" hidden="1" x14ac:dyDescent="0.35">
      <c r="A26" s="431"/>
      <c r="B26" s="293" t="s">
        <v>100</v>
      </c>
      <c r="C26" s="297">
        <v>549</v>
      </c>
      <c r="D26" s="517" t="s">
        <v>101</v>
      </c>
      <c r="E26" s="298">
        <v>520662</v>
      </c>
      <c r="F26" s="298">
        <v>948.38251366120221</v>
      </c>
      <c r="G26" s="521" t="s">
        <v>101</v>
      </c>
      <c r="H26" s="297">
        <v>1716</v>
      </c>
      <c r="I26" s="298">
        <v>10366</v>
      </c>
      <c r="J26" s="298">
        <v>75404</v>
      </c>
      <c r="K26" s="298">
        <v>43.941724941724942</v>
      </c>
      <c r="L26" s="432">
        <v>7.2741655411923594</v>
      </c>
      <c r="N26" s="415"/>
      <c r="O26" s="415"/>
      <c r="P26" s="415"/>
    </row>
    <row r="27" spans="1:29" ht="14.6" hidden="1" thickBot="1" x14ac:dyDescent="0.4">
      <c r="A27" s="433"/>
      <c r="B27" s="294" t="s">
        <v>38</v>
      </c>
      <c r="C27" s="299">
        <v>1611</v>
      </c>
      <c r="D27" s="518" t="s">
        <v>101</v>
      </c>
      <c r="E27" s="300">
        <v>3075505</v>
      </c>
      <c r="F27" s="300">
        <v>1909.0657976412167</v>
      </c>
      <c r="G27" s="522" t="s">
        <v>101</v>
      </c>
      <c r="H27" s="299">
        <v>4319</v>
      </c>
      <c r="I27" s="300">
        <v>7619</v>
      </c>
      <c r="J27" s="300">
        <v>195329</v>
      </c>
      <c r="K27" s="300">
        <v>45.225515165547577</v>
      </c>
      <c r="L27" s="434">
        <v>25.637091481821763</v>
      </c>
      <c r="N27" s="415"/>
      <c r="O27" s="415"/>
      <c r="P27" s="415"/>
    </row>
    <row r="28" spans="1:29" s="415" customFormat="1" ht="14.15" x14ac:dyDescent="0.35">
      <c r="A28" s="431"/>
      <c r="B28" s="295" t="s">
        <v>463</v>
      </c>
      <c r="C28" s="301">
        <v>1486</v>
      </c>
      <c r="D28" s="616" t="s">
        <v>101</v>
      </c>
      <c r="E28" s="302">
        <v>1424082</v>
      </c>
      <c r="F28" s="302">
        <v>958.33243606998656</v>
      </c>
      <c r="G28" s="617" t="s">
        <v>101</v>
      </c>
      <c r="H28" s="301">
        <v>4357</v>
      </c>
      <c r="I28" s="302">
        <v>6612</v>
      </c>
      <c r="J28" s="302">
        <v>160494</v>
      </c>
      <c r="K28" s="302">
        <v>36.835896258893733</v>
      </c>
      <c r="L28" s="618">
        <v>24.273139745916517</v>
      </c>
    </row>
    <row r="29" spans="1:29" s="415" customFormat="1" ht="14.15" x14ac:dyDescent="0.35">
      <c r="A29" s="431"/>
      <c r="B29" s="295" t="s">
        <v>415</v>
      </c>
      <c r="C29" s="301">
        <v>1550</v>
      </c>
      <c r="D29" s="616" t="s">
        <v>101</v>
      </c>
      <c r="E29" s="302">
        <v>1530309</v>
      </c>
      <c r="F29" s="302">
        <v>987.29612903225802</v>
      </c>
      <c r="G29" s="617" t="s">
        <v>101</v>
      </c>
      <c r="H29" s="301">
        <v>4252</v>
      </c>
      <c r="I29" s="302">
        <v>6549</v>
      </c>
      <c r="J29" s="302">
        <v>161483</v>
      </c>
      <c r="K29" s="302">
        <v>37.97812793979304</v>
      </c>
      <c r="L29" s="618">
        <v>24.657657657657658</v>
      </c>
    </row>
    <row r="30" spans="1:29" s="415" customFormat="1" ht="14.15" x14ac:dyDescent="0.35">
      <c r="A30" s="431"/>
      <c r="B30" s="295" t="s">
        <v>367</v>
      </c>
      <c r="C30" s="301">
        <v>1623</v>
      </c>
      <c r="D30" s="616" t="s">
        <v>101</v>
      </c>
      <c r="E30" s="302">
        <v>1435663</v>
      </c>
      <c r="F30" s="302">
        <v>884.57362908194705</v>
      </c>
      <c r="G30" s="617" t="s">
        <v>101</v>
      </c>
      <c r="H30" s="301">
        <v>4375</v>
      </c>
      <c r="I30" s="302">
        <v>7133</v>
      </c>
      <c r="J30" s="302">
        <v>181638</v>
      </c>
      <c r="K30" s="302">
        <v>41.51725714285714</v>
      </c>
      <c r="L30" s="618">
        <v>25.464460956119446</v>
      </c>
    </row>
    <row r="31" spans="1:29" s="415" customFormat="1" ht="14.15" x14ac:dyDescent="0.35">
      <c r="A31" s="431"/>
      <c r="B31" s="295" t="s">
        <v>334</v>
      </c>
      <c r="C31" s="301">
        <v>1530</v>
      </c>
      <c r="D31" s="616" t="s">
        <v>101</v>
      </c>
      <c r="E31" s="302">
        <v>1448131</v>
      </c>
      <c r="F31" s="302">
        <v>946.49084967320266</v>
      </c>
      <c r="G31" s="617" t="s">
        <v>101</v>
      </c>
      <c r="H31" s="301">
        <v>4426</v>
      </c>
      <c r="I31" s="302">
        <v>7250</v>
      </c>
      <c r="J31" s="302">
        <v>181834</v>
      </c>
      <c r="K31" s="302">
        <v>41.083145051965658</v>
      </c>
      <c r="L31" s="618">
        <v>25.08055172413793</v>
      </c>
    </row>
    <row r="32" spans="1:29" s="415" customFormat="1" ht="14.15" x14ac:dyDescent="0.35">
      <c r="A32" s="431"/>
      <c r="B32" s="295" t="s">
        <v>300</v>
      </c>
      <c r="C32" s="301">
        <v>1503</v>
      </c>
      <c r="D32" s="616" t="s">
        <v>101</v>
      </c>
      <c r="E32" s="302">
        <v>1423379</v>
      </c>
      <c r="F32" s="302">
        <v>947.02528276779776</v>
      </c>
      <c r="G32" s="617" t="s">
        <v>101</v>
      </c>
      <c r="H32" s="301">
        <v>4447</v>
      </c>
      <c r="I32" s="302">
        <v>7295</v>
      </c>
      <c r="J32" s="302">
        <v>175187</v>
      </c>
      <c r="K32" s="302">
        <v>39.394423206656171</v>
      </c>
      <c r="L32" s="618">
        <v>24.014667580534613</v>
      </c>
      <c r="N32" s="995"/>
    </row>
    <row r="33" spans="1:16" s="349" customFormat="1" ht="14.6" thickBot="1" x14ac:dyDescent="0.4">
      <c r="A33" s="435"/>
      <c r="B33" s="436" t="s">
        <v>155</v>
      </c>
      <c r="C33" s="437">
        <v>1604</v>
      </c>
      <c r="D33" s="519" t="s">
        <v>101</v>
      </c>
      <c r="E33" s="438">
        <v>1446778</v>
      </c>
      <c r="F33" s="438">
        <v>901.98129675810469</v>
      </c>
      <c r="G33" s="523" t="s">
        <v>101</v>
      </c>
      <c r="H33" s="437">
        <v>5015</v>
      </c>
      <c r="I33" s="438">
        <v>8155</v>
      </c>
      <c r="J33" s="438">
        <v>206339</v>
      </c>
      <c r="K33" s="438">
        <v>41.144366899302092</v>
      </c>
      <c r="L33" s="439">
        <v>25.302145922746782</v>
      </c>
      <c r="N33" s="995"/>
      <c r="O33" s="994"/>
      <c r="P33" s="1017"/>
    </row>
    <row r="34" spans="1:16" s="415" customFormat="1" ht="14.15" x14ac:dyDescent="0.35">
      <c r="A34" s="440" t="s">
        <v>102</v>
      </c>
      <c r="B34" s="441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N34" s="995"/>
    </row>
    <row r="35" spans="1:16" s="415" customFormat="1" ht="14.15" x14ac:dyDescent="0.35">
      <c r="A35" s="443" t="s">
        <v>129</v>
      </c>
      <c r="B35" s="441"/>
      <c r="C35" s="442"/>
      <c r="D35" s="442"/>
      <c r="E35" s="442"/>
      <c r="F35" s="442"/>
      <c r="G35" s="442"/>
      <c r="H35" s="442"/>
      <c r="I35" s="442"/>
      <c r="J35" s="442"/>
      <c r="K35" s="442"/>
      <c r="L35" s="442"/>
    </row>
    <row r="36" spans="1:16" s="415" customFormat="1" ht="14.15" x14ac:dyDescent="0.35">
      <c r="A36" s="444" t="s">
        <v>486</v>
      </c>
      <c r="B36" s="441"/>
      <c r="C36" s="442"/>
      <c r="D36" s="442"/>
      <c r="E36" s="442"/>
      <c r="F36" s="442"/>
      <c r="G36" s="442"/>
      <c r="H36" s="442"/>
      <c r="I36" s="442"/>
      <c r="J36" s="442"/>
      <c r="K36" s="442"/>
      <c r="L36" s="442"/>
    </row>
    <row r="37" spans="1:16" s="415" customFormat="1" ht="14.15" x14ac:dyDescent="0.35">
      <c r="A37" s="444" t="s">
        <v>128</v>
      </c>
      <c r="B37" s="441"/>
      <c r="C37" s="442"/>
      <c r="D37" s="442"/>
      <c r="E37" s="442"/>
      <c r="F37" s="442"/>
      <c r="G37" s="442"/>
      <c r="H37" s="442"/>
      <c r="I37" s="442"/>
      <c r="J37" s="442"/>
      <c r="K37" s="442"/>
      <c r="L37" s="442"/>
    </row>
    <row r="38" spans="1:16" s="415" customFormat="1" ht="14.15" x14ac:dyDescent="0.35">
      <c r="A38" s="444" t="s">
        <v>103</v>
      </c>
      <c r="B38" s="441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P38" s="415" t="s">
        <v>108</v>
      </c>
    </row>
    <row r="39" spans="1:16" s="415" customFormat="1" ht="14.15" x14ac:dyDescent="0.35">
      <c r="A39" s="444" t="s">
        <v>104</v>
      </c>
      <c r="B39" s="441"/>
      <c r="C39" s="442"/>
      <c r="D39" s="442"/>
      <c r="E39" s="442"/>
      <c r="F39" s="442"/>
      <c r="G39" s="442"/>
      <c r="H39" s="442"/>
      <c r="I39" s="442"/>
      <c r="J39" s="442"/>
      <c r="K39" s="442"/>
      <c r="L39" s="442"/>
    </row>
    <row r="40" spans="1:16" s="415" customFormat="1" ht="14.15" x14ac:dyDescent="0.35">
      <c r="A40" s="444"/>
      <c r="B40" s="441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O40" s="415" t="s">
        <v>108</v>
      </c>
    </row>
  </sheetData>
  <mergeCells count="2">
    <mergeCell ref="C8:G8"/>
    <mergeCell ref="H8:L8"/>
  </mergeCells>
  <pageMargins left="0.7" right="0.7" top="0.75" bottom="0.75" header="0.3" footer="0.3"/>
  <pageSetup paperSize="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1">
    <tabColor rgb="FFFF0000"/>
  </sheetPr>
  <dimension ref="A1:W144"/>
  <sheetViews>
    <sheetView showGridLines="0" zoomScale="90" zoomScaleNormal="90" workbookViewId="0">
      <selection activeCell="O2" sqref="O2"/>
    </sheetView>
  </sheetViews>
  <sheetFormatPr baseColWidth="10" defaultRowHeight="12.45" x14ac:dyDescent="0.3"/>
  <cols>
    <col min="1" max="1" width="4.84375" customWidth="1"/>
    <col min="2" max="2" width="20.07421875" customWidth="1"/>
    <col min="3" max="3" width="9.3046875" customWidth="1"/>
    <col min="4" max="4" width="8.07421875" customWidth="1"/>
    <col min="5" max="5" width="9.07421875" customWidth="1"/>
    <col min="6" max="6" width="10" customWidth="1"/>
    <col min="7" max="7" width="10.3046875" customWidth="1"/>
    <col min="8" max="8" width="9.53515625" customWidth="1"/>
    <col min="9" max="9" width="9.07421875" customWidth="1"/>
    <col min="10" max="10" width="9.84375" customWidth="1"/>
    <col min="11" max="11" width="8.07421875" customWidth="1"/>
    <col min="12" max="12" width="9.3046875" customWidth="1"/>
    <col min="13" max="13" width="10.3046875" customWidth="1"/>
    <col min="14" max="14" width="8.69140625" customWidth="1"/>
    <col min="15" max="15" width="9" customWidth="1"/>
    <col min="16" max="16" width="10.07421875" customWidth="1"/>
  </cols>
  <sheetData>
    <row r="1" spans="1:16" x14ac:dyDescent="0.3">
      <c r="A1" s="51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3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3">
      <c r="A4" s="1" t="str">
        <f>A9</f>
        <v>Tabell 3-3 - C - 1- Antall  oppholdsdøgn totalt i syke- og aldershjem fordelt på type opphold (Kostrafunksjon 253 - institusjonstjenester) - Kjøp fra SYE - hittil i år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3">
      <c r="A5" s="1" t="str">
        <f>A39</f>
        <v>Tabell 3-3 - C - 2- Antall  oppholdsdøgn totalt i syke- og aldershjem fordelt på type opphold (Kostrafunksjon 253 - institusjonstjenester) - Kjøp fra andre innenbys/utenbys - hittil i år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3">
      <c r="A6" s="1" t="str">
        <f>A75</f>
        <v>Tabell 3-3 - C - 3- Antall  oppholdsdøgn totalt i syke- og aldershjem fordelt på type opphold (Kostrafunksjon 253 - institusjonstjenester) - Drevet av bydelene selv - hittil i år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1" t="str">
        <f>A115</f>
        <v>Tabell 3-3 - C - 4- Antall  oppholdsdøgn totalt i syke- og aldershjem fordelt på type opphold (Kostrafunksjon 253 - institusjonstjenester) - SUM - hittil i år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6" thickBot="1" x14ac:dyDescent="0.35">
      <c r="A9" s="185" t="s">
        <v>384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ht="33" customHeight="1" thickBot="1" x14ac:dyDescent="0.35">
      <c r="A10" s="49"/>
      <c r="B10" s="65"/>
      <c r="C10" s="1670" t="s">
        <v>42</v>
      </c>
      <c r="D10" s="1670"/>
      <c r="E10" s="1670"/>
      <c r="F10" s="1671" t="s">
        <v>109</v>
      </c>
      <c r="G10" s="1646"/>
      <c r="H10" s="1646"/>
      <c r="I10" s="1646"/>
      <c r="J10" s="1646"/>
      <c r="K10" s="1646"/>
      <c r="L10" s="1672"/>
      <c r="M10" s="1670" t="s">
        <v>44</v>
      </c>
      <c r="N10" s="1670"/>
      <c r="O10" s="1670"/>
      <c r="P10" s="125"/>
    </row>
    <row r="11" spans="1:16" ht="110.25" customHeight="1" thickBot="1" x14ac:dyDescent="0.35">
      <c r="A11" s="745" t="s">
        <v>39</v>
      </c>
      <c r="B11" s="747" t="s">
        <v>3</v>
      </c>
      <c r="C11" s="34" t="s">
        <v>114</v>
      </c>
      <c r="D11" s="35" t="s">
        <v>113</v>
      </c>
      <c r="E11" s="52" t="s">
        <v>282</v>
      </c>
      <c r="F11" s="41" t="s">
        <v>115</v>
      </c>
      <c r="G11" s="33" t="s">
        <v>116</v>
      </c>
      <c r="H11" s="35" t="s">
        <v>283</v>
      </c>
      <c r="I11" s="33" t="s">
        <v>284</v>
      </c>
      <c r="J11" s="33" t="s">
        <v>285</v>
      </c>
      <c r="K11" s="33" t="s">
        <v>45</v>
      </c>
      <c r="L11" s="54" t="s">
        <v>117</v>
      </c>
      <c r="M11" s="34" t="s">
        <v>46</v>
      </c>
      <c r="N11" s="35" t="s">
        <v>286</v>
      </c>
      <c r="O11" s="33" t="s">
        <v>287</v>
      </c>
      <c r="P11" s="68" t="s">
        <v>169</v>
      </c>
    </row>
    <row r="12" spans="1:16" ht="14.15" x14ac:dyDescent="0.35">
      <c r="A12" s="303">
        <v>1</v>
      </c>
      <c r="B12" s="304" t="s">
        <v>14</v>
      </c>
      <c r="C12" s="355">
        <v>5905</v>
      </c>
      <c r="D12" s="408">
        <v>27</v>
      </c>
      <c r="E12" s="409">
        <v>333</v>
      </c>
      <c r="F12" s="355">
        <v>36458</v>
      </c>
      <c r="G12" s="408">
        <v>11699</v>
      </c>
      <c r="H12" s="408">
        <v>3098</v>
      </c>
      <c r="I12" s="408">
        <v>799</v>
      </c>
      <c r="J12" s="408">
        <v>1346</v>
      </c>
      <c r="K12" s="408">
        <v>0</v>
      </c>
      <c r="L12" s="409">
        <v>734</v>
      </c>
      <c r="M12" s="355">
        <v>0</v>
      </c>
      <c r="N12" s="408">
        <v>0</v>
      </c>
      <c r="O12" s="409">
        <v>0</v>
      </c>
      <c r="P12" s="756">
        <f t="shared" ref="P12:P26" si="0">SUM(C12:O12)</f>
        <v>60399</v>
      </c>
    </row>
    <row r="13" spans="1:16" ht="14.15" x14ac:dyDescent="0.35">
      <c r="A13" s="305">
        <v>2</v>
      </c>
      <c r="B13" s="126" t="s">
        <v>15</v>
      </c>
      <c r="C13" s="356">
        <v>3923</v>
      </c>
      <c r="D13" s="351">
        <v>3014</v>
      </c>
      <c r="E13" s="352">
        <v>250</v>
      </c>
      <c r="F13" s="356">
        <v>38304</v>
      </c>
      <c r="G13" s="351">
        <v>12112</v>
      </c>
      <c r="H13" s="351">
        <v>4517</v>
      </c>
      <c r="I13" s="351">
        <v>1103</v>
      </c>
      <c r="J13" s="351">
        <v>1046</v>
      </c>
      <c r="K13" s="351">
        <v>0</v>
      </c>
      <c r="L13" s="352">
        <v>1112</v>
      </c>
      <c r="M13" s="356">
        <v>0</v>
      </c>
      <c r="N13" s="351">
        <v>270</v>
      </c>
      <c r="O13" s="352">
        <v>0</v>
      </c>
      <c r="P13" s="748">
        <f t="shared" si="0"/>
        <v>65651</v>
      </c>
    </row>
    <row r="14" spans="1:16" ht="14.15" x14ac:dyDescent="0.35">
      <c r="A14" s="305">
        <v>3</v>
      </c>
      <c r="B14" s="126" t="s">
        <v>16</v>
      </c>
      <c r="C14" s="356">
        <v>5603</v>
      </c>
      <c r="D14" s="351">
        <v>396</v>
      </c>
      <c r="E14" s="352">
        <v>162</v>
      </c>
      <c r="F14" s="356">
        <v>37859</v>
      </c>
      <c r="G14" s="351">
        <v>13590</v>
      </c>
      <c r="H14" s="351">
        <v>3816</v>
      </c>
      <c r="I14" s="351">
        <v>518</v>
      </c>
      <c r="J14" s="351">
        <v>0</v>
      </c>
      <c r="K14" s="351">
        <v>0</v>
      </c>
      <c r="L14" s="352">
        <v>705</v>
      </c>
      <c r="M14" s="356">
        <v>0</v>
      </c>
      <c r="N14" s="351">
        <v>365</v>
      </c>
      <c r="O14" s="352">
        <v>0</v>
      </c>
      <c r="P14" s="748">
        <f t="shared" si="0"/>
        <v>63014</v>
      </c>
    </row>
    <row r="15" spans="1:16" ht="14.15" x14ac:dyDescent="0.35">
      <c r="A15" s="305">
        <v>4</v>
      </c>
      <c r="B15" s="126" t="s">
        <v>17</v>
      </c>
      <c r="C15" s="356">
        <v>1716</v>
      </c>
      <c r="D15" s="351">
        <v>1947</v>
      </c>
      <c r="E15" s="352">
        <v>337</v>
      </c>
      <c r="F15" s="356">
        <v>25649</v>
      </c>
      <c r="G15" s="351">
        <v>2373</v>
      </c>
      <c r="H15" s="351">
        <v>6777</v>
      </c>
      <c r="I15" s="351">
        <v>321</v>
      </c>
      <c r="J15" s="351">
        <v>730</v>
      </c>
      <c r="K15" s="351">
        <v>0</v>
      </c>
      <c r="L15" s="352">
        <v>0</v>
      </c>
      <c r="M15" s="356">
        <v>0</v>
      </c>
      <c r="N15" s="351">
        <v>0</v>
      </c>
      <c r="O15" s="352">
        <v>0</v>
      </c>
      <c r="P15" s="748">
        <f t="shared" si="0"/>
        <v>39850</v>
      </c>
    </row>
    <row r="16" spans="1:16" ht="14.15" x14ac:dyDescent="0.35">
      <c r="A16" s="305">
        <v>5</v>
      </c>
      <c r="B16" s="126" t="s">
        <v>18</v>
      </c>
      <c r="C16" s="356">
        <v>8404</v>
      </c>
      <c r="D16" s="351">
        <v>2119</v>
      </c>
      <c r="E16" s="352">
        <v>206</v>
      </c>
      <c r="F16" s="356">
        <v>97374</v>
      </c>
      <c r="G16" s="351">
        <v>24207</v>
      </c>
      <c r="H16" s="351">
        <v>6595</v>
      </c>
      <c r="I16" s="351">
        <v>545</v>
      </c>
      <c r="J16" s="351">
        <v>1134</v>
      </c>
      <c r="K16" s="351">
        <v>9</v>
      </c>
      <c r="L16" s="352">
        <v>165</v>
      </c>
      <c r="M16" s="356">
        <v>1057</v>
      </c>
      <c r="N16" s="351">
        <v>0</v>
      </c>
      <c r="O16" s="352">
        <v>0</v>
      </c>
      <c r="P16" s="748">
        <f t="shared" si="0"/>
        <v>141815</v>
      </c>
    </row>
    <row r="17" spans="1:16" ht="14.15" x14ac:dyDescent="0.35">
      <c r="A17" s="305">
        <v>6</v>
      </c>
      <c r="B17" s="126" t="s">
        <v>19</v>
      </c>
      <c r="C17" s="356">
        <v>8533</v>
      </c>
      <c r="D17" s="351">
        <v>2464</v>
      </c>
      <c r="E17" s="352">
        <v>586</v>
      </c>
      <c r="F17" s="356">
        <v>69610</v>
      </c>
      <c r="G17" s="351">
        <v>18401</v>
      </c>
      <c r="H17" s="351">
        <v>2109</v>
      </c>
      <c r="I17" s="351">
        <v>793</v>
      </c>
      <c r="J17" s="351">
        <v>730</v>
      </c>
      <c r="K17" s="351">
        <v>0</v>
      </c>
      <c r="L17" s="352">
        <v>0</v>
      </c>
      <c r="M17" s="356">
        <v>0</v>
      </c>
      <c r="N17" s="351">
        <v>0</v>
      </c>
      <c r="O17" s="352">
        <v>0</v>
      </c>
      <c r="P17" s="748">
        <f t="shared" si="0"/>
        <v>103226</v>
      </c>
    </row>
    <row r="18" spans="1:16" ht="14.15" x14ac:dyDescent="0.35">
      <c r="A18" s="305">
        <v>7</v>
      </c>
      <c r="B18" s="126" t="s">
        <v>20</v>
      </c>
      <c r="C18" s="356">
        <v>8710</v>
      </c>
      <c r="D18" s="351">
        <v>2791</v>
      </c>
      <c r="E18" s="352">
        <v>491</v>
      </c>
      <c r="F18" s="356">
        <v>82465</v>
      </c>
      <c r="G18" s="351">
        <v>20309</v>
      </c>
      <c r="H18" s="351">
        <v>4062</v>
      </c>
      <c r="I18" s="351">
        <v>3257</v>
      </c>
      <c r="J18" s="351">
        <v>1390</v>
      </c>
      <c r="K18" s="351">
        <v>23</v>
      </c>
      <c r="L18" s="352">
        <v>393</v>
      </c>
      <c r="M18" s="356">
        <v>0</v>
      </c>
      <c r="N18" s="351">
        <v>0</v>
      </c>
      <c r="O18" s="352">
        <v>0</v>
      </c>
      <c r="P18" s="748">
        <f t="shared" si="0"/>
        <v>123891</v>
      </c>
    </row>
    <row r="19" spans="1:16" ht="14.15" x14ac:dyDescent="0.35">
      <c r="A19" s="305">
        <v>8</v>
      </c>
      <c r="B19" s="126" t="s">
        <v>21</v>
      </c>
      <c r="C19" s="356">
        <v>4724</v>
      </c>
      <c r="D19" s="351">
        <v>2808</v>
      </c>
      <c r="E19" s="352">
        <v>304</v>
      </c>
      <c r="F19" s="356">
        <v>81287</v>
      </c>
      <c r="G19" s="351">
        <v>24138</v>
      </c>
      <c r="H19" s="351">
        <v>2636</v>
      </c>
      <c r="I19" s="351">
        <v>1145</v>
      </c>
      <c r="J19" s="351">
        <v>113</v>
      </c>
      <c r="K19" s="351">
        <v>0</v>
      </c>
      <c r="L19" s="352">
        <v>841</v>
      </c>
      <c r="M19" s="356">
        <v>0</v>
      </c>
      <c r="N19" s="351">
        <v>0</v>
      </c>
      <c r="O19" s="352">
        <v>0</v>
      </c>
      <c r="P19" s="748">
        <f t="shared" si="0"/>
        <v>117996</v>
      </c>
    </row>
    <row r="20" spans="1:16" ht="14.15" x14ac:dyDescent="0.35">
      <c r="A20" s="305">
        <v>9</v>
      </c>
      <c r="B20" s="126" t="s">
        <v>22</v>
      </c>
      <c r="C20" s="356">
        <v>11595</v>
      </c>
      <c r="D20" s="351">
        <v>0</v>
      </c>
      <c r="E20" s="352">
        <v>135</v>
      </c>
      <c r="F20" s="356">
        <v>39009</v>
      </c>
      <c r="G20" s="351">
        <v>14282</v>
      </c>
      <c r="H20" s="351">
        <v>1941</v>
      </c>
      <c r="I20" s="351">
        <v>1151</v>
      </c>
      <c r="J20" s="351">
        <v>431</v>
      </c>
      <c r="K20" s="351">
        <v>195</v>
      </c>
      <c r="L20" s="352">
        <v>0</v>
      </c>
      <c r="M20" s="356">
        <v>0</v>
      </c>
      <c r="N20" s="351">
        <v>549</v>
      </c>
      <c r="O20" s="352">
        <v>0</v>
      </c>
      <c r="P20" s="748">
        <f t="shared" si="0"/>
        <v>69288</v>
      </c>
    </row>
    <row r="21" spans="1:16" ht="14.15" x14ac:dyDescent="0.35">
      <c r="A21" s="305">
        <v>10</v>
      </c>
      <c r="B21" s="126" t="s">
        <v>23</v>
      </c>
      <c r="C21" s="356">
        <v>7130</v>
      </c>
      <c r="D21" s="351">
        <v>1576</v>
      </c>
      <c r="E21" s="352">
        <v>64</v>
      </c>
      <c r="F21" s="356">
        <v>41301</v>
      </c>
      <c r="G21" s="351">
        <v>17347</v>
      </c>
      <c r="H21" s="351">
        <v>2243</v>
      </c>
      <c r="I21" s="351">
        <v>730</v>
      </c>
      <c r="J21" s="351">
        <v>365</v>
      </c>
      <c r="K21" s="351">
        <v>0</v>
      </c>
      <c r="L21" s="352">
        <v>0</v>
      </c>
      <c r="M21" s="356">
        <v>0</v>
      </c>
      <c r="N21" s="351">
        <v>0</v>
      </c>
      <c r="O21" s="352">
        <v>0</v>
      </c>
      <c r="P21" s="748">
        <f t="shared" si="0"/>
        <v>70756</v>
      </c>
    </row>
    <row r="22" spans="1:16" ht="14.15" x14ac:dyDescent="0.35">
      <c r="A22" s="305">
        <v>11</v>
      </c>
      <c r="B22" s="126" t="s">
        <v>24</v>
      </c>
      <c r="C22" s="356">
        <v>3420</v>
      </c>
      <c r="D22" s="351">
        <v>1988</v>
      </c>
      <c r="E22" s="352">
        <v>289</v>
      </c>
      <c r="F22" s="356">
        <v>51223</v>
      </c>
      <c r="G22" s="351">
        <v>12063</v>
      </c>
      <c r="H22" s="351">
        <v>3083</v>
      </c>
      <c r="I22" s="351">
        <v>1460</v>
      </c>
      <c r="J22" s="351">
        <v>0</v>
      </c>
      <c r="K22" s="351">
        <v>0</v>
      </c>
      <c r="L22" s="352">
        <v>0</v>
      </c>
      <c r="M22" s="356">
        <v>0</v>
      </c>
      <c r="N22" s="351">
        <v>0</v>
      </c>
      <c r="O22" s="352">
        <v>0</v>
      </c>
      <c r="P22" s="748">
        <f t="shared" si="0"/>
        <v>73526</v>
      </c>
    </row>
    <row r="23" spans="1:16" ht="14.15" x14ac:dyDescent="0.35">
      <c r="A23" s="305">
        <v>12</v>
      </c>
      <c r="B23" s="126" t="s">
        <v>25</v>
      </c>
      <c r="C23" s="356">
        <v>6281</v>
      </c>
      <c r="D23" s="351">
        <v>7381</v>
      </c>
      <c r="E23" s="352">
        <v>355</v>
      </c>
      <c r="F23" s="356">
        <v>78364</v>
      </c>
      <c r="G23" s="351">
        <v>24107</v>
      </c>
      <c r="H23" s="351">
        <v>6747</v>
      </c>
      <c r="I23" s="351">
        <v>1916</v>
      </c>
      <c r="J23" s="351">
        <v>730</v>
      </c>
      <c r="K23" s="351">
        <v>39</v>
      </c>
      <c r="L23" s="352">
        <v>1086</v>
      </c>
      <c r="M23" s="356">
        <v>0</v>
      </c>
      <c r="N23" s="351">
        <v>0</v>
      </c>
      <c r="O23" s="352">
        <v>0</v>
      </c>
      <c r="P23" s="748">
        <f t="shared" si="0"/>
        <v>127006</v>
      </c>
    </row>
    <row r="24" spans="1:16" ht="14.15" x14ac:dyDescent="0.35">
      <c r="A24" s="305">
        <v>13</v>
      </c>
      <c r="B24" s="126" t="s">
        <v>26</v>
      </c>
      <c r="C24" s="356">
        <v>12247</v>
      </c>
      <c r="D24" s="351">
        <v>7522</v>
      </c>
      <c r="E24" s="352">
        <v>351</v>
      </c>
      <c r="F24" s="356">
        <v>122135</v>
      </c>
      <c r="G24" s="351">
        <v>32711</v>
      </c>
      <c r="H24" s="351">
        <v>4218</v>
      </c>
      <c r="I24" s="351">
        <v>2515</v>
      </c>
      <c r="J24" s="351">
        <v>920</v>
      </c>
      <c r="K24" s="351">
        <v>0</v>
      </c>
      <c r="L24" s="352">
        <v>810</v>
      </c>
      <c r="M24" s="356">
        <v>0</v>
      </c>
      <c r="N24" s="351">
        <v>1457</v>
      </c>
      <c r="O24" s="352">
        <v>0</v>
      </c>
      <c r="P24" s="748">
        <f t="shared" si="0"/>
        <v>184886</v>
      </c>
    </row>
    <row r="25" spans="1:16" ht="14.15" x14ac:dyDescent="0.35">
      <c r="A25" s="305">
        <v>14</v>
      </c>
      <c r="B25" s="126" t="s">
        <v>27</v>
      </c>
      <c r="C25" s="356">
        <v>9689</v>
      </c>
      <c r="D25" s="351">
        <v>6155</v>
      </c>
      <c r="E25" s="352">
        <v>192</v>
      </c>
      <c r="F25" s="356">
        <v>122813</v>
      </c>
      <c r="G25" s="351">
        <v>33781</v>
      </c>
      <c r="H25" s="351">
        <v>3722</v>
      </c>
      <c r="I25" s="351">
        <v>1110</v>
      </c>
      <c r="J25" s="351">
        <v>0</v>
      </c>
      <c r="K25" s="351">
        <v>0</v>
      </c>
      <c r="L25" s="352">
        <v>323</v>
      </c>
      <c r="M25" s="356">
        <v>0</v>
      </c>
      <c r="N25" s="351">
        <v>1641</v>
      </c>
      <c r="O25" s="352">
        <v>0</v>
      </c>
      <c r="P25" s="748">
        <f t="shared" si="0"/>
        <v>179426</v>
      </c>
    </row>
    <row r="26" spans="1:16" ht="14.25" customHeight="1" thickBot="1" x14ac:dyDescent="0.4">
      <c r="A26" s="746">
        <v>15</v>
      </c>
      <c r="B26" s="306" t="s">
        <v>28</v>
      </c>
      <c r="C26" s="524">
        <v>3340</v>
      </c>
      <c r="D26" s="353">
        <v>1889</v>
      </c>
      <c r="E26" s="354">
        <v>159</v>
      </c>
      <c r="F26" s="524">
        <v>29107</v>
      </c>
      <c r="G26" s="353">
        <v>8882</v>
      </c>
      <c r="H26" s="353">
        <v>365</v>
      </c>
      <c r="I26" s="353">
        <v>365</v>
      </c>
      <c r="J26" s="353">
        <v>365</v>
      </c>
      <c r="K26" s="353">
        <v>402</v>
      </c>
      <c r="L26" s="354">
        <v>60</v>
      </c>
      <c r="M26" s="524">
        <v>0</v>
      </c>
      <c r="N26" s="353">
        <v>365</v>
      </c>
      <c r="O26" s="354">
        <v>0</v>
      </c>
      <c r="P26" s="750">
        <f t="shared" si="0"/>
        <v>45299</v>
      </c>
    </row>
    <row r="27" spans="1:16" s="412" customFormat="1" ht="14.15" x14ac:dyDescent="0.35">
      <c r="A27" s="303"/>
      <c r="B27" s="1183" t="s">
        <v>541</v>
      </c>
      <c r="C27" s="819">
        <f t="shared" ref="C27:P27" si="1">SUM(C12:C26)</f>
        <v>101220</v>
      </c>
      <c r="D27" s="817">
        <f t="shared" si="1"/>
        <v>42077</v>
      </c>
      <c r="E27" s="818">
        <f t="shared" si="1"/>
        <v>4214</v>
      </c>
      <c r="F27" s="819">
        <f t="shared" si="1"/>
        <v>952958</v>
      </c>
      <c r="G27" s="817">
        <f t="shared" si="1"/>
        <v>270002</v>
      </c>
      <c r="H27" s="817">
        <f t="shared" si="1"/>
        <v>55929</v>
      </c>
      <c r="I27" s="817">
        <f t="shared" si="1"/>
        <v>17728</v>
      </c>
      <c r="J27" s="817">
        <f t="shared" si="1"/>
        <v>9300</v>
      </c>
      <c r="K27" s="817">
        <f t="shared" si="1"/>
        <v>668</v>
      </c>
      <c r="L27" s="818">
        <f t="shared" si="1"/>
        <v>6229</v>
      </c>
      <c r="M27" s="819">
        <f t="shared" si="1"/>
        <v>1057</v>
      </c>
      <c r="N27" s="817">
        <f t="shared" si="1"/>
        <v>4647</v>
      </c>
      <c r="O27" s="818">
        <f t="shared" si="1"/>
        <v>0</v>
      </c>
      <c r="P27" s="1000">
        <f t="shared" si="1"/>
        <v>1466029</v>
      </c>
    </row>
    <row r="28" spans="1:16" s="415" customFormat="1" ht="14.15" x14ac:dyDescent="0.35">
      <c r="A28" s="357"/>
      <c r="B28" s="1184" t="s">
        <v>463</v>
      </c>
      <c r="C28" s="619">
        <v>105621</v>
      </c>
      <c r="D28" s="359">
        <v>39146</v>
      </c>
      <c r="E28" s="358">
        <v>5059</v>
      </c>
      <c r="F28" s="619">
        <v>984799</v>
      </c>
      <c r="G28" s="359">
        <v>274284</v>
      </c>
      <c r="H28" s="359">
        <v>50059</v>
      </c>
      <c r="I28" s="359">
        <v>17393</v>
      </c>
      <c r="J28" s="359">
        <v>8310</v>
      </c>
      <c r="K28" s="359">
        <v>914</v>
      </c>
      <c r="L28" s="751">
        <v>5911</v>
      </c>
      <c r="M28" s="752">
        <v>0</v>
      </c>
      <c r="N28" s="359">
        <v>13434</v>
      </c>
      <c r="O28" s="358">
        <v>0</v>
      </c>
      <c r="P28" s="1182">
        <v>1504930</v>
      </c>
    </row>
    <row r="29" spans="1:16" s="415" customFormat="1" ht="14.15" x14ac:dyDescent="0.35">
      <c r="A29" s="357"/>
      <c r="B29" s="622" t="s">
        <v>415</v>
      </c>
      <c r="C29" s="619">
        <v>98051</v>
      </c>
      <c r="D29" s="359">
        <v>35735</v>
      </c>
      <c r="E29" s="358">
        <v>4847</v>
      </c>
      <c r="F29" s="619">
        <v>1009058</v>
      </c>
      <c r="G29" s="359">
        <v>284490</v>
      </c>
      <c r="H29" s="359">
        <v>46063</v>
      </c>
      <c r="I29" s="359">
        <v>21930</v>
      </c>
      <c r="J29" s="359">
        <v>5011</v>
      </c>
      <c r="K29" s="359">
        <v>2231</v>
      </c>
      <c r="L29" s="751">
        <v>3691</v>
      </c>
      <c r="M29" s="752">
        <v>931</v>
      </c>
      <c r="N29" s="359">
        <v>19598</v>
      </c>
      <c r="O29" s="358">
        <v>0</v>
      </c>
      <c r="P29" s="1182">
        <v>1531636</v>
      </c>
    </row>
    <row r="30" spans="1:16" s="415" customFormat="1" ht="14.15" x14ac:dyDescent="0.35">
      <c r="A30" s="357"/>
      <c r="B30" s="1184" t="s">
        <v>367</v>
      </c>
      <c r="C30" s="619">
        <v>126305</v>
      </c>
      <c r="D30" s="359">
        <v>42088</v>
      </c>
      <c r="E30" s="358">
        <v>3893</v>
      </c>
      <c r="F30" s="619">
        <v>1040961</v>
      </c>
      <c r="G30" s="359">
        <v>288794</v>
      </c>
      <c r="H30" s="359">
        <v>45697</v>
      </c>
      <c r="I30" s="359">
        <v>22932</v>
      </c>
      <c r="J30" s="359">
        <v>3396</v>
      </c>
      <c r="K30" s="359">
        <v>2438</v>
      </c>
      <c r="L30" s="751">
        <v>5679</v>
      </c>
      <c r="M30" s="752">
        <v>0</v>
      </c>
      <c r="N30" s="359">
        <v>18993</v>
      </c>
      <c r="O30" s="358">
        <v>0</v>
      </c>
      <c r="P30" s="754">
        <v>1601176</v>
      </c>
    </row>
    <row r="31" spans="1:16" s="415" customFormat="1" ht="14.15" x14ac:dyDescent="0.35">
      <c r="A31" s="357"/>
      <c r="B31" s="622" t="s">
        <v>334</v>
      </c>
      <c r="C31" s="752">
        <v>137037</v>
      </c>
      <c r="D31" s="359">
        <v>37029</v>
      </c>
      <c r="E31" s="358">
        <v>3816</v>
      </c>
      <c r="F31" s="619">
        <v>1062327</v>
      </c>
      <c r="G31" s="359">
        <v>295881</v>
      </c>
      <c r="H31" s="359">
        <v>45024</v>
      </c>
      <c r="I31" s="359">
        <v>22882</v>
      </c>
      <c r="J31" s="359">
        <v>3353</v>
      </c>
      <c r="K31" s="359">
        <v>2992</v>
      </c>
      <c r="L31" s="751">
        <v>5159</v>
      </c>
      <c r="M31" s="752">
        <v>4380</v>
      </c>
      <c r="N31" s="359">
        <v>22383</v>
      </c>
      <c r="O31" s="358">
        <v>0</v>
      </c>
      <c r="P31" s="754">
        <v>1642263</v>
      </c>
    </row>
    <row r="32" spans="1:16" s="415" customFormat="1" ht="14.15" x14ac:dyDescent="0.35">
      <c r="A32" s="357"/>
      <c r="B32" s="622" t="s">
        <v>300</v>
      </c>
      <c r="C32" s="752">
        <v>147249</v>
      </c>
      <c r="D32" s="359">
        <v>33755</v>
      </c>
      <c r="E32" s="358">
        <v>3413</v>
      </c>
      <c r="F32" s="619">
        <v>1064938</v>
      </c>
      <c r="G32" s="359">
        <v>300742</v>
      </c>
      <c r="H32" s="359">
        <v>44184</v>
      </c>
      <c r="I32" s="359">
        <v>22437</v>
      </c>
      <c r="J32" s="359">
        <v>4108</v>
      </c>
      <c r="K32" s="359">
        <v>3083</v>
      </c>
      <c r="L32" s="751">
        <v>5760</v>
      </c>
      <c r="M32" s="752">
        <v>4195</v>
      </c>
      <c r="N32" s="359">
        <v>24544</v>
      </c>
      <c r="O32" s="358">
        <v>168</v>
      </c>
      <c r="P32" s="754">
        <v>1658576</v>
      </c>
    </row>
    <row r="33" spans="1:18" s="349" customFormat="1" ht="14.15" x14ac:dyDescent="0.35">
      <c r="A33" s="357"/>
      <c r="B33" s="623" t="s">
        <v>155</v>
      </c>
      <c r="C33" s="752">
        <v>158358</v>
      </c>
      <c r="D33" s="359">
        <v>36817</v>
      </c>
      <c r="E33" s="358">
        <v>4113</v>
      </c>
      <c r="F33" s="619">
        <v>1077539</v>
      </c>
      <c r="G33" s="359">
        <v>308578</v>
      </c>
      <c r="H33" s="359">
        <v>41207</v>
      </c>
      <c r="I33" s="359">
        <v>21714</v>
      </c>
      <c r="J33" s="359">
        <v>2966</v>
      </c>
      <c r="K33" s="359">
        <v>2806</v>
      </c>
      <c r="L33" s="751">
        <v>4456</v>
      </c>
      <c r="M33" s="752">
        <v>5317</v>
      </c>
      <c r="N33" s="359">
        <v>22828</v>
      </c>
      <c r="O33" s="358">
        <v>0</v>
      </c>
      <c r="P33" s="754">
        <v>1686699</v>
      </c>
    </row>
    <row r="34" spans="1:18" s="85" customFormat="1" ht="14.15" x14ac:dyDescent="0.35">
      <c r="A34" s="123"/>
      <c r="B34" s="624" t="s">
        <v>107</v>
      </c>
      <c r="C34" s="356">
        <v>164179</v>
      </c>
      <c r="D34" s="351">
        <v>38204</v>
      </c>
      <c r="E34" s="352">
        <v>4915</v>
      </c>
      <c r="F34" s="620">
        <v>1074440</v>
      </c>
      <c r="G34" s="351">
        <v>316448</v>
      </c>
      <c r="H34" s="351">
        <v>40201</v>
      </c>
      <c r="I34" s="351">
        <v>20878</v>
      </c>
      <c r="J34" s="351">
        <v>1648</v>
      </c>
      <c r="K34" s="351">
        <v>2720</v>
      </c>
      <c r="L34" s="668">
        <v>3286</v>
      </c>
      <c r="M34" s="356">
        <v>3975</v>
      </c>
      <c r="N34" s="351">
        <v>24235</v>
      </c>
      <c r="O34" s="352">
        <v>0</v>
      </c>
      <c r="P34" s="753">
        <v>1695129</v>
      </c>
    </row>
    <row r="35" spans="1:18" s="85" customFormat="1" ht="14.15" x14ac:dyDescent="0.35">
      <c r="A35" s="123"/>
      <c r="B35" s="624" t="s">
        <v>106</v>
      </c>
      <c r="C35" s="356">
        <v>145783</v>
      </c>
      <c r="D35" s="351">
        <v>34904</v>
      </c>
      <c r="E35" s="352">
        <v>3212</v>
      </c>
      <c r="F35" s="620">
        <v>1069871</v>
      </c>
      <c r="G35" s="351">
        <v>314800</v>
      </c>
      <c r="H35" s="351">
        <v>39766</v>
      </c>
      <c r="I35" s="351">
        <v>19381</v>
      </c>
      <c r="J35" s="351">
        <v>2960</v>
      </c>
      <c r="K35" s="351">
        <v>3619</v>
      </c>
      <c r="L35" s="668">
        <v>1973</v>
      </c>
      <c r="M35" s="356">
        <v>4776</v>
      </c>
      <c r="N35" s="351">
        <v>25781</v>
      </c>
      <c r="O35" s="352">
        <v>0</v>
      </c>
      <c r="P35" s="753">
        <v>1666826</v>
      </c>
    </row>
    <row r="36" spans="1:18" s="85" customFormat="1" ht="14.6" thickBot="1" x14ac:dyDescent="0.4">
      <c r="A36" s="124"/>
      <c r="B36" s="625" t="s">
        <v>38</v>
      </c>
      <c r="C36" s="524">
        <v>161844</v>
      </c>
      <c r="D36" s="353">
        <v>19964</v>
      </c>
      <c r="E36" s="354">
        <v>2470</v>
      </c>
      <c r="F36" s="621">
        <v>1084660</v>
      </c>
      <c r="G36" s="353">
        <v>323129</v>
      </c>
      <c r="H36" s="353">
        <v>39605</v>
      </c>
      <c r="I36" s="353">
        <v>20105</v>
      </c>
      <c r="J36" s="353">
        <v>1726</v>
      </c>
      <c r="K36" s="353">
        <v>1005</v>
      </c>
      <c r="L36" s="749"/>
      <c r="M36" s="524">
        <v>4683</v>
      </c>
      <c r="N36" s="353">
        <v>27064</v>
      </c>
      <c r="O36" s="354">
        <v>0</v>
      </c>
      <c r="P36" s="755">
        <v>1686255</v>
      </c>
    </row>
    <row r="37" spans="1:18" x14ac:dyDescent="0.3">
      <c r="A37" s="1" t="s">
        <v>41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8" x14ac:dyDescent="0.3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8" ht="13.5" customHeight="1" thickBot="1" x14ac:dyDescent="0.35">
      <c r="A39" s="7" t="s">
        <v>385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1:18" ht="43.5" customHeight="1" thickBot="1" x14ac:dyDescent="0.35">
      <c r="A40" s="96"/>
      <c r="B40" s="66"/>
      <c r="C40" s="1663" t="s">
        <v>42</v>
      </c>
      <c r="D40" s="1663"/>
      <c r="E40" s="1663"/>
      <c r="F40" s="1664" t="s">
        <v>109</v>
      </c>
      <c r="G40" s="1665"/>
      <c r="H40" s="1665"/>
      <c r="I40" s="1665"/>
      <c r="J40" s="1665"/>
      <c r="K40" s="1665"/>
      <c r="L40" s="1666"/>
      <c r="M40" s="1663" t="s">
        <v>44</v>
      </c>
      <c r="N40" s="1663"/>
      <c r="O40" s="1663"/>
      <c r="P40" s="125"/>
    </row>
    <row r="41" spans="1:18" ht="110.25" customHeight="1" thickBot="1" x14ac:dyDescent="0.35">
      <c r="A41" s="757" t="s">
        <v>39</v>
      </c>
      <c r="B41" s="758" t="s">
        <v>3</v>
      </c>
      <c r="C41" s="759" t="s">
        <v>114</v>
      </c>
      <c r="D41" s="760" t="s">
        <v>113</v>
      </c>
      <c r="E41" s="761" t="s">
        <v>282</v>
      </c>
      <c r="F41" s="758" t="s">
        <v>115</v>
      </c>
      <c r="G41" s="762" t="s">
        <v>116</v>
      </c>
      <c r="H41" s="760" t="s">
        <v>283</v>
      </c>
      <c r="I41" s="762" t="s">
        <v>284</v>
      </c>
      <c r="J41" s="762" t="s">
        <v>285</v>
      </c>
      <c r="K41" s="762" t="s">
        <v>45</v>
      </c>
      <c r="L41" s="763" t="s">
        <v>117</v>
      </c>
      <c r="M41" s="759" t="s">
        <v>46</v>
      </c>
      <c r="N41" s="760" t="s">
        <v>286</v>
      </c>
      <c r="O41" s="762" t="s">
        <v>287</v>
      </c>
      <c r="P41" s="764" t="s">
        <v>169</v>
      </c>
      <c r="R41" s="790" t="s">
        <v>108</v>
      </c>
    </row>
    <row r="42" spans="1:18" ht="14.15" x14ac:dyDescent="0.35">
      <c r="A42" s="303">
        <v>1</v>
      </c>
      <c r="B42" s="304" t="s">
        <v>14</v>
      </c>
      <c r="C42" s="1065">
        <v>0</v>
      </c>
      <c r="D42" s="1066">
        <v>630</v>
      </c>
      <c r="E42" s="1067">
        <v>0</v>
      </c>
      <c r="F42" s="1065">
        <v>0</v>
      </c>
      <c r="G42" s="1066">
        <v>0</v>
      </c>
      <c r="H42" s="1066">
        <v>0</v>
      </c>
      <c r="I42" s="1066">
        <v>0</v>
      </c>
      <c r="J42" s="1066">
        <v>71</v>
      </c>
      <c r="K42" s="1066">
        <v>0</v>
      </c>
      <c r="L42" s="1068">
        <v>0</v>
      </c>
      <c r="M42" s="1069">
        <v>12125</v>
      </c>
      <c r="N42" s="1066">
        <v>0</v>
      </c>
      <c r="O42" s="1068">
        <v>0</v>
      </c>
      <c r="P42" s="756">
        <f t="shared" ref="P42:P56" si="2">SUM(C42:O42)</f>
        <v>12826</v>
      </c>
    </row>
    <row r="43" spans="1:18" ht="14.15" x14ac:dyDescent="0.35">
      <c r="A43" s="305">
        <v>2</v>
      </c>
      <c r="B43" s="126" t="s">
        <v>15</v>
      </c>
      <c r="C43" s="1002">
        <v>447</v>
      </c>
      <c r="D43" s="1003">
        <v>414</v>
      </c>
      <c r="E43" s="1004">
        <v>0</v>
      </c>
      <c r="F43" s="1002">
        <v>0</v>
      </c>
      <c r="G43" s="1003">
        <v>0</v>
      </c>
      <c r="H43" s="1003">
        <v>0</v>
      </c>
      <c r="I43" s="1003">
        <v>0</v>
      </c>
      <c r="J43" s="1003">
        <v>1195</v>
      </c>
      <c r="K43" s="1003">
        <v>0</v>
      </c>
      <c r="L43" s="1005">
        <v>0</v>
      </c>
      <c r="M43" s="1006">
        <v>2395</v>
      </c>
      <c r="N43" s="1003">
        <v>0</v>
      </c>
      <c r="O43" s="1005">
        <v>2034</v>
      </c>
      <c r="P43" s="748">
        <f t="shared" si="2"/>
        <v>6485</v>
      </c>
    </row>
    <row r="44" spans="1:18" ht="14.15" x14ac:dyDescent="0.35">
      <c r="A44" s="305">
        <v>3</v>
      </c>
      <c r="B44" s="126" t="s">
        <v>16</v>
      </c>
      <c r="C44" s="1002">
        <v>0</v>
      </c>
      <c r="D44" s="1003">
        <v>887</v>
      </c>
      <c r="E44" s="1004">
        <v>0</v>
      </c>
      <c r="F44" s="1002">
        <v>195</v>
      </c>
      <c r="G44" s="1003">
        <v>0</v>
      </c>
      <c r="H44" s="1003">
        <v>0</v>
      </c>
      <c r="I44" s="1003">
        <v>0</v>
      </c>
      <c r="J44" s="1003">
        <v>0</v>
      </c>
      <c r="K44" s="1003">
        <v>0</v>
      </c>
      <c r="L44" s="1005">
        <v>0</v>
      </c>
      <c r="M44" s="1006">
        <v>1162</v>
      </c>
      <c r="N44" s="1003">
        <v>0</v>
      </c>
      <c r="O44" s="1005">
        <v>848</v>
      </c>
      <c r="P44" s="748">
        <f t="shared" si="2"/>
        <v>3092</v>
      </c>
    </row>
    <row r="45" spans="1:18" ht="14.15" x14ac:dyDescent="0.35">
      <c r="A45" s="305">
        <v>4</v>
      </c>
      <c r="B45" s="126" t="s">
        <v>17</v>
      </c>
      <c r="C45" s="1002">
        <v>0</v>
      </c>
      <c r="D45" s="1003">
        <v>381</v>
      </c>
      <c r="E45" s="1004">
        <v>0</v>
      </c>
      <c r="F45" s="1002">
        <v>232</v>
      </c>
      <c r="G45" s="1003">
        <v>730</v>
      </c>
      <c r="H45" s="1003">
        <v>0</v>
      </c>
      <c r="I45" s="1003">
        <v>31</v>
      </c>
      <c r="J45" s="1003">
        <v>0</v>
      </c>
      <c r="K45" s="1003">
        <v>0</v>
      </c>
      <c r="L45" s="1005">
        <v>0</v>
      </c>
      <c r="M45" s="1006">
        <v>0</v>
      </c>
      <c r="N45" s="1003">
        <v>0</v>
      </c>
      <c r="O45" s="1005">
        <v>0</v>
      </c>
      <c r="P45" s="748">
        <f t="shared" si="2"/>
        <v>1374</v>
      </c>
    </row>
    <row r="46" spans="1:18" ht="14.15" x14ac:dyDescent="0.35">
      <c r="A46" s="305">
        <v>5</v>
      </c>
      <c r="B46" s="126" t="s">
        <v>18</v>
      </c>
      <c r="C46" s="1002">
        <v>113</v>
      </c>
      <c r="D46" s="1003">
        <v>671</v>
      </c>
      <c r="E46" s="1004">
        <v>0</v>
      </c>
      <c r="F46" s="1002">
        <v>0</v>
      </c>
      <c r="G46" s="1003">
        <v>0</v>
      </c>
      <c r="H46" s="1003">
        <v>0</v>
      </c>
      <c r="I46" s="1003">
        <v>0</v>
      </c>
      <c r="J46" s="1003">
        <v>1779</v>
      </c>
      <c r="K46" s="1003">
        <v>0</v>
      </c>
      <c r="L46" s="1005">
        <v>0</v>
      </c>
      <c r="M46" s="1006">
        <v>90</v>
      </c>
      <c r="N46" s="1003">
        <v>0</v>
      </c>
      <c r="O46" s="1005">
        <v>1307</v>
      </c>
      <c r="P46" s="748">
        <f t="shared" si="2"/>
        <v>3960</v>
      </c>
    </row>
    <row r="47" spans="1:18" ht="14.15" x14ac:dyDescent="0.35">
      <c r="A47" s="305">
        <v>6</v>
      </c>
      <c r="B47" s="126" t="s">
        <v>19</v>
      </c>
      <c r="C47" s="1002">
        <v>0</v>
      </c>
      <c r="D47" s="1003">
        <v>0</v>
      </c>
      <c r="E47" s="1004">
        <v>0</v>
      </c>
      <c r="F47" s="1002">
        <v>0</v>
      </c>
      <c r="G47" s="1003">
        <v>0</v>
      </c>
      <c r="H47" s="1003">
        <v>0</v>
      </c>
      <c r="I47" s="1003">
        <v>0</v>
      </c>
      <c r="J47" s="1003">
        <v>0</v>
      </c>
      <c r="K47" s="1003">
        <v>0</v>
      </c>
      <c r="L47" s="1005">
        <v>0</v>
      </c>
      <c r="M47" s="1006">
        <v>942</v>
      </c>
      <c r="N47" s="1003">
        <v>0</v>
      </c>
      <c r="O47" s="1005">
        <v>484</v>
      </c>
      <c r="P47" s="748">
        <f t="shared" si="2"/>
        <v>1426</v>
      </c>
    </row>
    <row r="48" spans="1:18" ht="14.15" x14ac:dyDescent="0.35">
      <c r="A48" s="305">
        <v>7</v>
      </c>
      <c r="B48" s="126" t="s">
        <v>20</v>
      </c>
      <c r="C48" s="1002">
        <v>0</v>
      </c>
      <c r="D48" s="1003">
        <v>799</v>
      </c>
      <c r="E48" s="1004">
        <v>0</v>
      </c>
      <c r="F48" s="1002">
        <v>0</v>
      </c>
      <c r="G48" s="1003">
        <v>0</v>
      </c>
      <c r="H48" s="1003">
        <v>0</v>
      </c>
      <c r="I48" s="1003">
        <v>0</v>
      </c>
      <c r="J48" s="1003">
        <v>0</v>
      </c>
      <c r="K48" s="1003">
        <v>0</v>
      </c>
      <c r="L48" s="1005">
        <v>0</v>
      </c>
      <c r="M48" s="1006">
        <v>2292</v>
      </c>
      <c r="N48" s="1003">
        <v>0</v>
      </c>
      <c r="O48" s="1005">
        <v>3461</v>
      </c>
      <c r="P48" s="748">
        <f t="shared" si="2"/>
        <v>6552</v>
      </c>
    </row>
    <row r="49" spans="1:16" ht="14.15" x14ac:dyDescent="0.35">
      <c r="A49" s="305">
        <v>8</v>
      </c>
      <c r="B49" s="126" t="s">
        <v>21</v>
      </c>
      <c r="C49" s="1002">
        <v>0</v>
      </c>
      <c r="D49" s="1003">
        <v>487</v>
      </c>
      <c r="E49" s="1004">
        <v>0</v>
      </c>
      <c r="F49" s="1002">
        <v>0</v>
      </c>
      <c r="G49" s="1003">
        <v>0</v>
      </c>
      <c r="H49" s="1003">
        <v>0</v>
      </c>
      <c r="I49" s="1003">
        <v>0</v>
      </c>
      <c r="J49" s="1003">
        <v>0</v>
      </c>
      <c r="K49" s="1003">
        <v>0</v>
      </c>
      <c r="L49" s="1005">
        <v>0</v>
      </c>
      <c r="M49" s="1006">
        <v>1883</v>
      </c>
      <c r="N49" s="1003">
        <v>0</v>
      </c>
      <c r="O49" s="1005">
        <v>1341</v>
      </c>
      <c r="P49" s="748">
        <f t="shared" si="2"/>
        <v>3711</v>
      </c>
    </row>
    <row r="50" spans="1:16" ht="14.15" x14ac:dyDescent="0.35">
      <c r="A50" s="305">
        <v>9</v>
      </c>
      <c r="B50" s="126" t="s">
        <v>22</v>
      </c>
      <c r="C50" s="1002">
        <v>0</v>
      </c>
      <c r="D50" s="1003">
        <v>526</v>
      </c>
      <c r="E50" s="1004">
        <v>0</v>
      </c>
      <c r="F50" s="1002">
        <v>299</v>
      </c>
      <c r="G50" s="1003">
        <v>0</v>
      </c>
      <c r="H50" s="1003">
        <v>0</v>
      </c>
      <c r="I50" s="1003">
        <v>365</v>
      </c>
      <c r="J50" s="1003">
        <v>0</v>
      </c>
      <c r="K50" s="1003">
        <v>0</v>
      </c>
      <c r="L50" s="1005">
        <v>0</v>
      </c>
      <c r="M50" s="1006">
        <v>1181</v>
      </c>
      <c r="N50" s="1003">
        <v>0</v>
      </c>
      <c r="O50" s="1005">
        <v>729</v>
      </c>
      <c r="P50" s="748">
        <f t="shared" si="2"/>
        <v>3100</v>
      </c>
    </row>
    <row r="51" spans="1:16" ht="14.15" x14ac:dyDescent="0.35">
      <c r="A51" s="305">
        <v>10</v>
      </c>
      <c r="B51" s="126" t="s">
        <v>23</v>
      </c>
      <c r="C51" s="1002">
        <v>437</v>
      </c>
      <c r="D51" s="1003">
        <v>353</v>
      </c>
      <c r="E51" s="1004">
        <v>0</v>
      </c>
      <c r="F51" s="1002">
        <v>0</v>
      </c>
      <c r="G51" s="1003">
        <v>0</v>
      </c>
      <c r="H51" s="1003">
        <v>70</v>
      </c>
      <c r="I51" s="1003">
        <v>0</v>
      </c>
      <c r="J51" s="1003">
        <v>0</v>
      </c>
      <c r="K51" s="1003">
        <v>0</v>
      </c>
      <c r="L51" s="1005">
        <v>0</v>
      </c>
      <c r="M51" s="1006">
        <v>731</v>
      </c>
      <c r="N51" s="1003">
        <v>0</v>
      </c>
      <c r="O51" s="1005">
        <v>835</v>
      </c>
      <c r="P51" s="748">
        <f t="shared" si="2"/>
        <v>2426</v>
      </c>
    </row>
    <row r="52" spans="1:16" ht="14.15" x14ac:dyDescent="0.35">
      <c r="A52" s="305">
        <v>11</v>
      </c>
      <c r="B52" s="126" t="s">
        <v>24</v>
      </c>
      <c r="C52" s="1002">
        <v>0</v>
      </c>
      <c r="D52" s="1003">
        <v>515</v>
      </c>
      <c r="E52" s="1004">
        <v>0</v>
      </c>
      <c r="F52" s="1002">
        <v>365</v>
      </c>
      <c r="G52" s="1003">
        <v>0</v>
      </c>
      <c r="H52" s="1003">
        <v>0</v>
      </c>
      <c r="I52" s="1003">
        <v>0</v>
      </c>
      <c r="J52" s="1003">
        <v>0</v>
      </c>
      <c r="K52" s="1003">
        <v>0</v>
      </c>
      <c r="L52" s="1005">
        <v>0</v>
      </c>
      <c r="M52" s="1006">
        <v>0</v>
      </c>
      <c r="N52" s="1003">
        <v>0</v>
      </c>
      <c r="O52" s="1005">
        <v>1239</v>
      </c>
      <c r="P52" s="748">
        <f t="shared" si="2"/>
        <v>2119</v>
      </c>
    </row>
    <row r="53" spans="1:16" ht="14.15" x14ac:dyDescent="0.35">
      <c r="A53" s="305">
        <v>12</v>
      </c>
      <c r="B53" s="126" t="s">
        <v>25</v>
      </c>
      <c r="C53" s="1002">
        <v>0</v>
      </c>
      <c r="D53" s="1003">
        <v>939</v>
      </c>
      <c r="E53" s="1004">
        <v>0</v>
      </c>
      <c r="F53" s="1002">
        <v>568</v>
      </c>
      <c r="G53" s="1003">
        <v>0</v>
      </c>
      <c r="H53" s="1003">
        <v>1122</v>
      </c>
      <c r="I53" s="1003">
        <v>0</v>
      </c>
      <c r="J53" s="1003">
        <v>0</v>
      </c>
      <c r="K53" s="1003">
        <v>0</v>
      </c>
      <c r="L53" s="1005">
        <v>0</v>
      </c>
      <c r="M53" s="1006">
        <v>6819</v>
      </c>
      <c r="N53" s="1003">
        <v>365</v>
      </c>
      <c r="O53" s="1005">
        <v>2200</v>
      </c>
      <c r="P53" s="748">
        <f t="shared" si="2"/>
        <v>12013</v>
      </c>
    </row>
    <row r="54" spans="1:16" ht="14.15" x14ac:dyDescent="0.35">
      <c r="A54" s="305">
        <v>13</v>
      </c>
      <c r="B54" s="126" t="s">
        <v>26</v>
      </c>
      <c r="C54" s="1002">
        <v>684</v>
      </c>
      <c r="D54" s="1003">
        <v>0</v>
      </c>
      <c r="E54" s="1004">
        <v>0</v>
      </c>
      <c r="F54" s="1002">
        <v>621</v>
      </c>
      <c r="G54" s="1003">
        <v>0</v>
      </c>
      <c r="H54" s="1003">
        <v>590</v>
      </c>
      <c r="I54" s="1003">
        <v>365</v>
      </c>
      <c r="J54" s="1003">
        <v>678</v>
      </c>
      <c r="K54" s="1003">
        <v>0</v>
      </c>
      <c r="L54" s="1005">
        <v>0</v>
      </c>
      <c r="M54" s="1006">
        <v>728</v>
      </c>
      <c r="N54" s="1003">
        <v>730</v>
      </c>
      <c r="O54" s="1005">
        <v>2587</v>
      </c>
      <c r="P54" s="748">
        <f t="shared" si="2"/>
        <v>6983</v>
      </c>
    </row>
    <row r="55" spans="1:16" ht="14.15" x14ac:dyDescent="0.35">
      <c r="A55" s="305">
        <v>14</v>
      </c>
      <c r="B55" s="126" t="s">
        <v>27</v>
      </c>
      <c r="C55" s="1002">
        <v>0</v>
      </c>
      <c r="D55" s="1003">
        <v>524</v>
      </c>
      <c r="E55" s="1004">
        <v>0</v>
      </c>
      <c r="F55" s="1002">
        <v>365</v>
      </c>
      <c r="G55" s="1003">
        <v>0</v>
      </c>
      <c r="H55" s="1003">
        <v>903</v>
      </c>
      <c r="I55" s="1003">
        <v>55</v>
      </c>
      <c r="J55" s="1003">
        <v>0</v>
      </c>
      <c r="K55" s="1003">
        <v>0</v>
      </c>
      <c r="L55" s="1005">
        <v>0</v>
      </c>
      <c r="M55" s="1006">
        <v>3110</v>
      </c>
      <c r="N55" s="1003">
        <v>0</v>
      </c>
      <c r="O55" s="1005">
        <v>584</v>
      </c>
      <c r="P55" s="748">
        <f t="shared" si="2"/>
        <v>5541</v>
      </c>
    </row>
    <row r="56" spans="1:16" ht="15" customHeight="1" thickBot="1" x14ac:dyDescent="0.4">
      <c r="A56" s="746">
        <v>15</v>
      </c>
      <c r="B56" s="306" t="s">
        <v>28</v>
      </c>
      <c r="C56" s="1071">
        <v>0</v>
      </c>
      <c r="D56" s="1072">
        <v>143</v>
      </c>
      <c r="E56" s="1073">
        <v>0</v>
      </c>
      <c r="F56" s="1071">
        <v>35</v>
      </c>
      <c r="G56" s="1072">
        <v>0</v>
      </c>
      <c r="H56" s="1072">
        <v>0</v>
      </c>
      <c r="I56" s="1072">
        <v>0</v>
      </c>
      <c r="J56" s="1072">
        <v>0</v>
      </c>
      <c r="K56" s="1072">
        <v>0</v>
      </c>
      <c r="L56" s="1074">
        <v>0</v>
      </c>
      <c r="M56" s="1075">
        <v>3842</v>
      </c>
      <c r="N56" s="1072">
        <v>17</v>
      </c>
      <c r="O56" s="1074">
        <v>4434</v>
      </c>
      <c r="P56" s="750">
        <f t="shared" si="2"/>
        <v>8471</v>
      </c>
    </row>
    <row r="57" spans="1:16" ht="14.15" x14ac:dyDescent="0.35">
      <c r="A57" s="303"/>
      <c r="B57" s="1183" t="s">
        <v>555</v>
      </c>
      <c r="C57" s="819">
        <f t="shared" ref="C57:P57" si="3">SUM(C42:C56)</f>
        <v>1681</v>
      </c>
      <c r="D57" s="817">
        <f t="shared" si="3"/>
        <v>7269</v>
      </c>
      <c r="E57" s="818">
        <f t="shared" si="3"/>
        <v>0</v>
      </c>
      <c r="F57" s="819">
        <f t="shared" si="3"/>
        <v>2680</v>
      </c>
      <c r="G57" s="817">
        <f t="shared" si="3"/>
        <v>730</v>
      </c>
      <c r="H57" s="817">
        <f t="shared" si="3"/>
        <v>2685</v>
      </c>
      <c r="I57" s="817">
        <f t="shared" si="3"/>
        <v>816</v>
      </c>
      <c r="J57" s="817">
        <f t="shared" si="3"/>
        <v>3723</v>
      </c>
      <c r="K57" s="817">
        <f t="shared" si="3"/>
        <v>0</v>
      </c>
      <c r="L57" s="818">
        <f t="shared" si="3"/>
        <v>0</v>
      </c>
      <c r="M57" s="819">
        <f t="shared" si="3"/>
        <v>37300</v>
      </c>
      <c r="N57" s="817">
        <f t="shared" si="3"/>
        <v>1112</v>
      </c>
      <c r="O57" s="818">
        <f t="shared" si="3"/>
        <v>22083</v>
      </c>
      <c r="P57" s="1000">
        <f t="shared" si="3"/>
        <v>80079</v>
      </c>
    </row>
    <row r="58" spans="1:16" s="415" customFormat="1" ht="14.15" x14ac:dyDescent="0.35">
      <c r="A58" s="357"/>
      <c r="B58" s="622" t="s">
        <v>463</v>
      </c>
      <c r="C58" s="752">
        <v>916</v>
      </c>
      <c r="D58" s="359">
        <v>5990</v>
      </c>
      <c r="E58" s="358">
        <v>0</v>
      </c>
      <c r="F58" s="619">
        <v>2171</v>
      </c>
      <c r="G58" s="359">
        <v>603</v>
      </c>
      <c r="H58" s="359">
        <v>1825</v>
      </c>
      <c r="I58" s="359">
        <v>1795</v>
      </c>
      <c r="J58" s="359">
        <v>2221</v>
      </c>
      <c r="K58" s="359">
        <v>0</v>
      </c>
      <c r="L58" s="751">
        <v>0</v>
      </c>
      <c r="M58" s="752">
        <v>44030</v>
      </c>
      <c r="N58" s="359">
        <v>2071</v>
      </c>
      <c r="O58" s="358">
        <v>25359</v>
      </c>
      <c r="P58" s="754">
        <v>86981</v>
      </c>
    </row>
    <row r="59" spans="1:16" s="415" customFormat="1" ht="14.15" x14ac:dyDescent="0.35">
      <c r="A59" s="357"/>
      <c r="B59" s="622" t="s">
        <v>415</v>
      </c>
      <c r="C59" s="752">
        <v>2678</v>
      </c>
      <c r="D59" s="359">
        <v>4041</v>
      </c>
      <c r="E59" s="358">
        <v>0</v>
      </c>
      <c r="F59" s="619">
        <v>2191</v>
      </c>
      <c r="G59" s="359">
        <v>365</v>
      </c>
      <c r="H59" s="359">
        <v>1014</v>
      </c>
      <c r="I59" s="359">
        <v>1460</v>
      </c>
      <c r="J59" s="359">
        <v>10614</v>
      </c>
      <c r="K59" s="359">
        <v>0</v>
      </c>
      <c r="L59" s="751">
        <v>0</v>
      </c>
      <c r="M59" s="752">
        <v>57506</v>
      </c>
      <c r="N59" s="359">
        <v>1463</v>
      </c>
      <c r="O59" s="358">
        <v>21038</v>
      </c>
      <c r="P59" s="754">
        <v>102370</v>
      </c>
    </row>
    <row r="60" spans="1:16" s="415" customFormat="1" ht="14.15" x14ac:dyDescent="0.35">
      <c r="A60" s="357"/>
      <c r="B60" s="622" t="s">
        <v>367</v>
      </c>
      <c r="C60" s="752">
        <v>1172</v>
      </c>
      <c r="D60" s="359">
        <v>0</v>
      </c>
      <c r="E60" s="358">
        <v>0</v>
      </c>
      <c r="F60" s="619">
        <v>2877</v>
      </c>
      <c r="G60" s="359">
        <v>264</v>
      </c>
      <c r="H60" s="359">
        <v>732</v>
      </c>
      <c r="I60" s="359">
        <v>1464</v>
      </c>
      <c r="J60" s="359">
        <v>1098</v>
      </c>
      <c r="K60" s="359">
        <v>0</v>
      </c>
      <c r="L60" s="751">
        <v>0</v>
      </c>
      <c r="M60" s="752">
        <v>80670</v>
      </c>
      <c r="N60" s="359">
        <v>2593</v>
      </c>
      <c r="O60" s="358">
        <v>26813</v>
      </c>
      <c r="P60" s="754">
        <v>117683</v>
      </c>
    </row>
    <row r="61" spans="1:16" s="415" customFormat="1" ht="14.15" x14ac:dyDescent="0.35">
      <c r="A61" s="357"/>
      <c r="B61" s="622" t="s">
        <v>334</v>
      </c>
      <c r="C61" s="752">
        <v>526</v>
      </c>
      <c r="D61" s="359">
        <v>0</v>
      </c>
      <c r="E61" s="358">
        <v>0</v>
      </c>
      <c r="F61" s="619">
        <v>3447</v>
      </c>
      <c r="G61" s="359">
        <v>365</v>
      </c>
      <c r="H61" s="359">
        <v>365</v>
      </c>
      <c r="I61" s="359">
        <v>1499</v>
      </c>
      <c r="J61" s="359">
        <v>1039</v>
      </c>
      <c r="K61" s="359">
        <v>0</v>
      </c>
      <c r="L61" s="751">
        <v>0</v>
      </c>
      <c r="M61" s="752">
        <v>80145</v>
      </c>
      <c r="N61" s="359">
        <v>2536</v>
      </c>
      <c r="O61" s="358">
        <v>35009.5</v>
      </c>
      <c r="P61" s="754">
        <v>124931.5</v>
      </c>
    </row>
    <row r="62" spans="1:16" s="415" customFormat="1" ht="14.15" x14ac:dyDescent="0.35">
      <c r="A62" s="357"/>
      <c r="B62" s="622" t="s">
        <v>300</v>
      </c>
      <c r="C62" s="752">
        <v>922</v>
      </c>
      <c r="D62" s="359">
        <v>47</v>
      </c>
      <c r="E62" s="358">
        <v>0</v>
      </c>
      <c r="F62" s="619">
        <v>3154</v>
      </c>
      <c r="G62" s="359">
        <v>0</v>
      </c>
      <c r="H62" s="359">
        <v>912</v>
      </c>
      <c r="I62" s="359">
        <v>1095</v>
      </c>
      <c r="J62" s="359">
        <v>1042</v>
      </c>
      <c r="K62" s="359">
        <v>0</v>
      </c>
      <c r="L62" s="751">
        <v>0</v>
      </c>
      <c r="M62" s="752">
        <v>84777</v>
      </c>
      <c r="N62" s="359">
        <v>2554</v>
      </c>
      <c r="O62" s="358">
        <v>33602</v>
      </c>
      <c r="P62" s="754">
        <v>128105</v>
      </c>
    </row>
    <row r="63" spans="1:16" s="349" customFormat="1" ht="14.15" x14ac:dyDescent="0.35">
      <c r="A63" s="357"/>
      <c r="B63" s="623" t="s">
        <v>155</v>
      </c>
      <c r="C63" s="752">
        <v>357</v>
      </c>
      <c r="D63" s="359">
        <v>345</v>
      </c>
      <c r="E63" s="358">
        <v>0</v>
      </c>
      <c r="F63" s="619">
        <v>1825</v>
      </c>
      <c r="G63" s="359">
        <v>0</v>
      </c>
      <c r="H63" s="359">
        <v>1246</v>
      </c>
      <c r="I63" s="359">
        <v>1199</v>
      </c>
      <c r="J63" s="359">
        <v>730</v>
      </c>
      <c r="K63" s="359">
        <v>0</v>
      </c>
      <c r="L63" s="751">
        <v>0</v>
      </c>
      <c r="M63" s="752">
        <v>81799</v>
      </c>
      <c r="N63" s="359">
        <v>3682</v>
      </c>
      <c r="O63" s="358">
        <v>26011.25</v>
      </c>
      <c r="P63" s="754">
        <v>117194.25</v>
      </c>
    </row>
    <row r="64" spans="1:16" s="85" customFormat="1" ht="14.15" x14ac:dyDescent="0.35">
      <c r="A64" s="123"/>
      <c r="B64" s="624" t="s">
        <v>107</v>
      </c>
      <c r="C64" s="356">
        <v>711</v>
      </c>
      <c r="D64" s="351">
        <v>313</v>
      </c>
      <c r="E64" s="352">
        <v>0</v>
      </c>
      <c r="F64" s="620">
        <v>2119</v>
      </c>
      <c r="G64" s="351">
        <v>0</v>
      </c>
      <c r="H64" s="351">
        <v>1712</v>
      </c>
      <c r="I64" s="351">
        <v>1749</v>
      </c>
      <c r="J64" s="351">
        <v>732</v>
      </c>
      <c r="K64" s="351">
        <v>0</v>
      </c>
      <c r="L64" s="668">
        <v>0</v>
      </c>
      <c r="M64" s="356">
        <v>81522</v>
      </c>
      <c r="N64" s="351">
        <v>4478</v>
      </c>
      <c r="O64" s="352">
        <v>30425</v>
      </c>
      <c r="P64" s="753">
        <v>123761</v>
      </c>
    </row>
    <row r="65" spans="1:16" s="85" customFormat="1" ht="14.15" x14ac:dyDescent="0.35">
      <c r="A65" s="123"/>
      <c r="B65" s="624" t="s">
        <v>106</v>
      </c>
      <c r="C65" s="356">
        <v>2984</v>
      </c>
      <c r="D65" s="351">
        <v>416</v>
      </c>
      <c r="E65" s="352">
        <v>1</v>
      </c>
      <c r="F65" s="620">
        <v>2142</v>
      </c>
      <c r="G65" s="351">
        <v>537</v>
      </c>
      <c r="H65" s="351">
        <v>2821</v>
      </c>
      <c r="I65" s="351">
        <v>1825</v>
      </c>
      <c r="J65" s="351">
        <v>730</v>
      </c>
      <c r="K65" s="351">
        <v>0</v>
      </c>
      <c r="L65" s="668">
        <v>0</v>
      </c>
      <c r="M65" s="356">
        <v>86694</v>
      </c>
      <c r="N65" s="351">
        <v>4982</v>
      </c>
      <c r="O65" s="352">
        <v>33204</v>
      </c>
      <c r="P65" s="753">
        <v>136336</v>
      </c>
    </row>
    <row r="66" spans="1:16" s="85" customFormat="1" ht="14.6" thickBot="1" x14ac:dyDescent="0.4">
      <c r="A66" s="124"/>
      <c r="B66" s="625" t="s">
        <v>38</v>
      </c>
      <c r="C66" s="524">
        <v>1515</v>
      </c>
      <c r="D66" s="353">
        <v>1825</v>
      </c>
      <c r="E66" s="354">
        <v>0</v>
      </c>
      <c r="F66" s="621">
        <v>4087</v>
      </c>
      <c r="G66" s="353">
        <v>365</v>
      </c>
      <c r="H66" s="353">
        <v>1825</v>
      </c>
      <c r="I66" s="353">
        <v>730</v>
      </c>
      <c r="J66" s="353">
        <v>862</v>
      </c>
      <c r="K66" s="353">
        <v>0</v>
      </c>
      <c r="L66" s="749"/>
      <c r="M66" s="524">
        <v>77149</v>
      </c>
      <c r="N66" s="353">
        <v>5604</v>
      </c>
      <c r="O66" s="354">
        <v>26798</v>
      </c>
      <c r="P66" s="755">
        <v>120760</v>
      </c>
    </row>
    <row r="67" spans="1:16" x14ac:dyDescent="0.3">
      <c r="A67" s="1" t="s">
        <v>41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3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412" customFormat="1" x14ac:dyDescent="0.3">
      <c r="A69" s="1"/>
      <c r="B69" s="413"/>
      <c r="C69" s="413"/>
      <c r="D69" s="413"/>
      <c r="E69" s="413"/>
      <c r="F69" s="413"/>
      <c r="G69" s="413"/>
      <c r="H69" s="413"/>
      <c r="I69" s="413"/>
      <c r="J69" s="413"/>
      <c r="K69" s="413"/>
      <c r="L69" s="413"/>
      <c r="M69" s="413"/>
      <c r="N69" s="413"/>
      <c r="O69" s="413"/>
      <c r="P69" s="413"/>
    </row>
    <row r="70" spans="1:16" s="412" customFormat="1" x14ac:dyDescent="0.3">
      <c r="A70" s="1"/>
      <c r="B70" s="413"/>
      <c r="C70" s="413"/>
      <c r="D70" s="413"/>
      <c r="E70" s="413"/>
      <c r="F70" s="413"/>
      <c r="G70" s="413"/>
      <c r="H70" s="413"/>
      <c r="I70" s="413"/>
      <c r="J70" s="413"/>
      <c r="K70" s="413"/>
      <c r="L70" s="413"/>
      <c r="M70" s="413"/>
      <c r="N70" s="413"/>
      <c r="O70" s="413"/>
      <c r="P70" s="413"/>
    </row>
    <row r="71" spans="1:16" s="412" customFormat="1" x14ac:dyDescent="0.3">
      <c r="A71" s="1"/>
      <c r="B71" s="413"/>
      <c r="C71" s="413"/>
      <c r="D71" s="413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413"/>
    </row>
    <row r="72" spans="1:16" s="412" customFormat="1" x14ac:dyDescent="0.3">
      <c r="A72" s="1"/>
      <c r="B72" s="413"/>
      <c r="C72" s="413"/>
      <c r="D72" s="413"/>
      <c r="E72" s="413"/>
      <c r="F72" s="413"/>
      <c r="G72" s="413"/>
      <c r="H72" s="413"/>
      <c r="I72" s="413"/>
      <c r="J72" s="413"/>
      <c r="K72" s="413"/>
      <c r="L72" s="413"/>
      <c r="M72" s="413"/>
      <c r="N72" s="413"/>
      <c r="O72" s="413"/>
      <c r="P72" s="413"/>
    </row>
    <row r="75" spans="1:16" ht="12.9" thickBot="1" x14ac:dyDescent="0.35">
      <c r="A75" s="7" t="s">
        <v>386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6" ht="42.75" customHeight="1" thickBot="1" x14ac:dyDescent="0.35">
      <c r="A76" s="49"/>
      <c r="B76" s="65"/>
      <c r="C76" s="1663" t="s">
        <v>42</v>
      </c>
      <c r="D76" s="1663"/>
      <c r="E76" s="1663"/>
      <c r="F76" s="1664" t="s">
        <v>109</v>
      </c>
      <c r="G76" s="1665"/>
      <c r="H76" s="1665"/>
      <c r="I76" s="1665"/>
      <c r="J76" s="1665"/>
      <c r="K76" s="1665"/>
      <c r="L76" s="1666"/>
      <c r="M76" s="1663" t="s">
        <v>44</v>
      </c>
      <c r="N76" s="1663"/>
      <c r="O76" s="1663"/>
      <c r="P76" s="125"/>
    </row>
    <row r="77" spans="1:16" ht="110.25" customHeight="1" thickBot="1" x14ac:dyDescent="0.35">
      <c r="A77" s="34" t="s">
        <v>39</v>
      </c>
      <c r="B77" s="52" t="s">
        <v>3</v>
      </c>
      <c r="C77" s="34" t="s">
        <v>114</v>
      </c>
      <c r="D77" s="35" t="s">
        <v>113</v>
      </c>
      <c r="E77" s="52" t="s">
        <v>282</v>
      </c>
      <c r="F77" s="41" t="s">
        <v>115</v>
      </c>
      <c r="G77" s="33" t="s">
        <v>116</v>
      </c>
      <c r="H77" s="35" t="s">
        <v>283</v>
      </c>
      <c r="I77" s="33" t="s">
        <v>284</v>
      </c>
      <c r="J77" s="33" t="s">
        <v>285</v>
      </c>
      <c r="K77" s="33" t="s">
        <v>45</v>
      </c>
      <c r="L77" s="54" t="s">
        <v>117</v>
      </c>
      <c r="M77" s="34" t="s">
        <v>46</v>
      </c>
      <c r="N77" s="35" t="s">
        <v>286</v>
      </c>
      <c r="O77" s="33" t="s">
        <v>287</v>
      </c>
      <c r="P77" s="41" t="s">
        <v>169</v>
      </c>
    </row>
    <row r="78" spans="1:16" ht="14.6" thickBot="1" x14ac:dyDescent="0.4">
      <c r="A78" s="303">
        <v>1</v>
      </c>
      <c r="B78" s="304" t="s">
        <v>14</v>
      </c>
      <c r="C78" s="1065">
        <v>15</v>
      </c>
      <c r="D78" s="1066">
        <v>0</v>
      </c>
      <c r="E78" s="1067">
        <v>0</v>
      </c>
      <c r="F78" s="1065">
        <v>0</v>
      </c>
      <c r="G78" s="1066">
        <v>0</v>
      </c>
      <c r="H78" s="1066">
        <v>0</v>
      </c>
      <c r="I78" s="1066">
        <v>0</v>
      </c>
      <c r="J78" s="1066">
        <v>0</v>
      </c>
      <c r="K78" s="1066">
        <v>0</v>
      </c>
      <c r="L78" s="1068">
        <v>0</v>
      </c>
      <c r="M78" s="1069">
        <v>0</v>
      </c>
      <c r="N78" s="1066">
        <v>0</v>
      </c>
      <c r="O78" s="1068">
        <v>0</v>
      </c>
      <c r="P78" s="764">
        <f t="shared" ref="P78:P92" si="4">SUM(C78:O78)</f>
        <v>15</v>
      </c>
    </row>
    <row r="79" spans="1:16" ht="14.15" x14ac:dyDescent="0.35">
      <c r="A79" s="305">
        <v>2</v>
      </c>
      <c r="B79" s="126" t="s">
        <v>15</v>
      </c>
      <c r="C79" s="1002">
        <v>0</v>
      </c>
      <c r="D79" s="1003">
        <v>0</v>
      </c>
      <c r="E79" s="1004">
        <v>0</v>
      </c>
      <c r="F79" s="1002">
        <v>0</v>
      </c>
      <c r="G79" s="1003">
        <v>0</v>
      </c>
      <c r="H79" s="1003">
        <v>0</v>
      </c>
      <c r="I79" s="1003">
        <v>0</v>
      </c>
      <c r="J79" s="1003">
        <v>0</v>
      </c>
      <c r="K79" s="1003">
        <v>0</v>
      </c>
      <c r="L79" s="1005">
        <v>0</v>
      </c>
      <c r="M79" s="1006">
        <v>0</v>
      </c>
      <c r="N79" s="1003">
        <v>0</v>
      </c>
      <c r="O79" s="1005">
        <v>153</v>
      </c>
      <c r="P79" s="756">
        <f t="shared" si="4"/>
        <v>153</v>
      </c>
    </row>
    <row r="80" spans="1:16" ht="14.15" x14ac:dyDescent="0.35">
      <c r="A80" s="305">
        <v>3</v>
      </c>
      <c r="B80" s="126" t="s">
        <v>16</v>
      </c>
      <c r="C80" s="1002">
        <v>3199</v>
      </c>
      <c r="D80" s="1003">
        <v>0</v>
      </c>
      <c r="E80" s="1004">
        <v>0</v>
      </c>
      <c r="F80" s="1002">
        <v>0</v>
      </c>
      <c r="G80" s="1003">
        <v>0</v>
      </c>
      <c r="H80" s="1003">
        <v>0</v>
      </c>
      <c r="I80" s="1003">
        <v>0</v>
      </c>
      <c r="J80" s="1003">
        <v>0</v>
      </c>
      <c r="K80" s="1003">
        <v>0</v>
      </c>
      <c r="L80" s="1005">
        <v>0</v>
      </c>
      <c r="M80" s="1006">
        <v>0</v>
      </c>
      <c r="N80" s="1003">
        <v>3330</v>
      </c>
      <c r="O80" s="1005">
        <v>0</v>
      </c>
      <c r="P80" s="748">
        <f t="shared" si="4"/>
        <v>6529</v>
      </c>
    </row>
    <row r="81" spans="1:16" ht="14.15" x14ac:dyDescent="0.35">
      <c r="A81" s="305">
        <v>4</v>
      </c>
      <c r="B81" s="126" t="s">
        <v>17</v>
      </c>
      <c r="C81" s="1002">
        <v>0</v>
      </c>
      <c r="D81" s="1003">
        <v>0</v>
      </c>
      <c r="E81" s="1004">
        <v>0</v>
      </c>
      <c r="F81" s="1002">
        <v>0</v>
      </c>
      <c r="G81" s="1003">
        <v>0</v>
      </c>
      <c r="H81" s="1003">
        <v>0</v>
      </c>
      <c r="I81" s="1003">
        <v>0</v>
      </c>
      <c r="J81" s="1003">
        <v>0</v>
      </c>
      <c r="K81" s="1003">
        <v>0</v>
      </c>
      <c r="L81" s="1005">
        <v>0</v>
      </c>
      <c r="M81" s="1006">
        <v>0</v>
      </c>
      <c r="N81" s="1003">
        <v>0</v>
      </c>
      <c r="O81" s="1005">
        <v>0</v>
      </c>
      <c r="P81" s="748">
        <f t="shared" si="4"/>
        <v>0</v>
      </c>
    </row>
    <row r="82" spans="1:16" ht="14.15" x14ac:dyDescent="0.35">
      <c r="A82" s="305">
        <v>5</v>
      </c>
      <c r="B82" s="126" t="s">
        <v>18</v>
      </c>
      <c r="C82" s="1002">
        <v>0</v>
      </c>
      <c r="D82" s="1003">
        <v>0</v>
      </c>
      <c r="E82" s="1004">
        <v>0</v>
      </c>
      <c r="F82" s="1002">
        <v>0</v>
      </c>
      <c r="G82" s="1003">
        <v>0</v>
      </c>
      <c r="H82" s="1003">
        <v>0</v>
      </c>
      <c r="I82" s="1003">
        <v>0</v>
      </c>
      <c r="J82" s="1003">
        <v>0</v>
      </c>
      <c r="K82" s="1003">
        <v>0</v>
      </c>
      <c r="L82" s="1005">
        <v>0</v>
      </c>
      <c r="M82" s="1006">
        <v>0</v>
      </c>
      <c r="N82" s="1003">
        <v>0</v>
      </c>
      <c r="O82" s="1005">
        <v>0</v>
      </c>
      <c r="P82" s="748">
        <f t="shared" si="4"/>
        <v>0</v>
      </c>
    </row>
    <row r="83" spans="1:16" ht="14.15" x14ac:dyDescent="0.35">
      <c r="A83" s="305">
        <v>6</v>
      </c>
      <c r="B83" s="126" t="s">
        <v>19</v>
      </c>
      <c r="C83" s="1002">
        <v>0</v>
      </c>
      <c r="D83" s="1003">
        <v>0</v>
      </c>
      <c r="E83" s="1004">
        <v>0</v>
      </c>
      <c r="F83" s="1002">
        <v>0</v>
      </c>
      <c r="G83" s="1003">
        <v>0</v>
      </c>
      <c r="H83" s="1003">
        <v>0</v>
      </c>
      <c r="I83" s="1003">
        <v>0</v>
      </c>
      <c r="J83" s="1003">
        <v>0</v>
      </c>
      <c r="K83" s="1003">
        <v>0</v>
      </c>
      <c r="L83" s="1005">
        <v>0</v>
      </c>
      <c r="M83" s="1006">
        <v>0</v>
      </c>
      <c r="N83" s="1003">
        <v>0</v>
      </c>
      <c r="O83" s="1005">
        <v>444</v>
      </c>
      <c r="P83" s="748">
        <f t="shared" si="4"/>
        <v>444</v>
      </c>
    </row>
    <row r="84" spans="1:16" ht="14.15" x14ac:dyDescent="0.35">
      <c r="A84" s="305">
        <v>7</v>
      </c>
      <c r="B84" s="126" t="s">
        <v>20</v>
      </c>
      <c r="C84" s="1002">
        <v>0</v>
      </c>
      <c r="D84" s="1003">
        <v>0</v>
      </c>
      <c r="E84" s="1004">
        <v>0</v>
      </c>
      <c r="F84" s="1002">
        <v>0</v>
      </c>
      <c r="G84" s="1003">
        <v>0</v>
      </c>
      <c r="H84" s="1003">
        <v>0</v>
      </c>
      <c r="I84" s="1003">
        <v>0</v>
      </c>
      <c r="J84" s="1003">
        <v>0</v>
      </c>
      <c r="K84" s="1003">
        <v>0</v>
      </c>
      <c r="L84" s="1005">
        <v>0</v>
      </c>
      <c r="M84" s="1006">
        <v>0</v>
      </c>
      <c r="N84" s="1003">
        <v>0</v>
      </c>
      <c r="O84" s="1005">
        <v>0</v>
      </c>
      <c r="P84" s="748">
        <f t="shared" si="4"/>
        <v>0</v>
      </c>
    </row>
    <row r="85" spans="1:16" ht="14.15" x14ac:dyDescent="0.35">
      <c r="A85" s="305">
        <v>8</v>
      </c>
      <c r="B85" s="126" t="s">
        <v>21</v>
      </c>
      <c r="C85" s="1002">
        <v>0</v>
      </c>
      <c r="D85" s="1003">
        <v>0</v>
      </c>
      <c r="E85" s="1004">
        <v>0</v>
      </c>
      <c r="F85" s="1002">
        <v>0</v>
      </c>
      <c r="G85" s="1003">
        <v>0</v>
      </c>
      <c r="H85" s="1003">
        <v>0</v>
      </c>
      <c r="I85" s="1003">
        <v>0</v>
      </c>
      <c r="J85" s="1003">
        <v>0</v>
      </c>
      <c r="K85" s="1003">
        <v>0</v>
      </c>
      <c r="L85" s="1005">
        <v>0</v>
      </c>
      <c r="M85" s="1006">
        <v>0</v>
      </c>
      <c r="N85" s="1003">
        <v>0</v>
      </c>
      <c r="O85" s="1005">
        <v>1711</v>
      </c>
      <c r="P85" s="748">
        <f t="shared" si="4"/>
        <v>1711</v>
      </c>
    </row>
    <row r="86" spans="1:16" ht="14.15" x14ac:dyDescent="0.35">
      <c r="A86" s="305">
        <v>9</v>
      </c>
      <c r="B86" s="126" t="s">
        <v>22</v>
      </c>
      <c r="C86" s="1002">
        <v>0</v>
      </c>
      <c r="D86" s="1003">
        <v>0</v>
      </c>
      <c r="E86" s="1004">
        <v>0</v>
      </c>
      <c r="F86" s="1002">
        <v>0</v>
      </c>
      <c r="G86" s="1003">
        <v>0</v>
      </c>
      <c r="H86" s="1003">
        <v>0</v>
      </c>
      <c r="I86" s="1003">
        <v>0</v>
      </c>
      <c r="J86" s="1003">
        <v>0</v>
      </c>
      <c r="K86" s="1003">
        <v>0</v>
      </c>
      <c r="L86" s="1005">
        <v>0</v>
      </c>
      <c r="M86" s="1006">
        <v>0</v>
      </c>
      <c r="N86" s="1003">
        <v>0</v>
      </c>
      <c r="O86" s="1005">
        <v>0</v>
      </c>
      <c r="P86" s="748">
        <f t="shared" si="4"/>
        <v>0</v>
      </c>
    </row>
    <row r="87" spans="1:16" ht="14.15" x14ac:dyDescent="0.35">
      <c r="A87" s="305">
        <v>10</v>
      </c>
      <c r="B87" s="126" t="s">
        <v>23</v>
      </c>
      <c r="C87" s="1002">
        <v>0</v>
      </c>
      <c r="D87" s="1003">
        <v>0</v>
      </c>
      <c r="E87" s="1004">
        <v>0</v>
      </c>
      <c r="F87" s="1002">
        <v>0</v>
      </c>
      <c r="G87" s="1003">
        <v>0</v>
      </c>
      <c r="H87" s="1003">
        <v>0</v>
      </c>
      <c r="I87" s="1003">
        <v>0</v>
      </c>
      <c r="J87" s="1003">
        <v>0</v>
      </c>
      <c r="K87" s="1003">
        <v>0</v>
      </c>
      <c r="L87" s="1005">
        <v>0</v>
      </c>
      <c r="M87" s="1006">
        <v>0</v>
      </c>
      <c r="N87" s="1003">
        <v>0</v>
      </c>
      <c r="O87" s="1005">
        <v>0</v>
      </c>
      <c r="P87" s="748">
        <f t="shared" si="4"/>
        <v>0</v>
      </c>
    </row>
    <row r="88" spans="1:16" ht="14.15" x14ac:dyDescent="0.35">
      <c r="A88" s="305">
        <v>11</v>
      </c>
      <c r="B88" s="126" t="s">
        <v>24</v>
      </c>
      <c r="C88" s="1002">
        <v>163</v>
      </c>
      <c r="D88" s="1003">
        <v>0</v>
      </c>
      <c r="E88" s="1004">
        <v>0</v>
      </c>
      <c r="F88" s="1002">
        <v>0</v>
      </c>
      <c r="G88" s="1003">
        <v>0</v>
      </c>
      <c r="H88" s="1003">
        <v>0</v>
      </c>
      <c r="I88" s="1003">
        <v>0</v>
      </c>
      <c r="J88" s="1003">
        <v>0</v>
      </c>
      <c r="K88" s="1003">
        <v>0</v>
      </c>
      <c r="L88" s="1005">
        <v>0</v>
      </c>
      <c r="M88" s="1006">
        <v>0</v>
      </c>
      <c r="N88" s="1003">
        <v>0</v>
      </c>
      <c r="O88" s="1005">
        <v>1855</v>
      </c>
      <c r="P88" s="748">
        <f t="shared" si="4"/>
        <v>2018</v>
      </c>
    </row>
    <row r="89" spans="1:16" ht="14.15" x14ac:dyDescent="0.35">
      <c r="A89" s="305">
        <v>12</v>
      </c>
      <c r="B89" s="126" t="s">
        <v>25</v>
      </c>
      <c r="C89" s="1002">
        <v>0</v>
      </c>
      <c r="D89" s="1003">
        <v>0</v>
      </c>
      <c r="E89" s="1004">
        <v>0</v>
      </c>
      <c r="F89" s="1002">
        <v>0</v>
      </c>
      <c r="G89" s="1003">
        <v>0</v>
      </c>
      <c r="H89" s="1003">
        <v>0</v>
      </c>
      <c r="I89" s="1003">
        <v>0</v>
      </c>
      <c r="J89" s="1003">
        <v>0</v>
      </c>
      <c r="K89" s="1003">
        <v>0</v>
      </c>
      <c r="L89" s="1005">
        <v>0</v>
      </c>
      <c r="M89" s="1006">
        <v>0</v>
      </c>
      <c r="N89" s="1003">
        <v>0</v>
      </c>
      <c r="O89" s="1005">
        <v>730</v>
      </c>
      <c r="P89" s="748">
        <f t="shared" si="4"/>
        <v>730</v>
      </c>
    </row>
    <row r="90" spans="1:16" ht="14.15" x14ac:dyDescent="0.35">
      <c r="A90" s="305">
        <v>13</v>
      </c>
      <c r="B90" s="126" t="s">
        <v>26</v>
      </c>
      <c r="C90" s="1002">
        <v>0</v>
      </c>
      <c r="D90" s="1003">
        <v>0</v>
      </c>
      <c r="E90" s="1004">
        <v>0</v>
      </c>
      <c r="F90" s="1002">
        <v>0</v>
      </c>
      <c r="G90" s="1003">
        <v>0</v>
      </c>
      <c r="H90" s="1003">
        <v>0</v>
      </c>
      <c r="I90" s="1003">
        <v>0</v>
      </c>
      <c r="J90" s="1003">
        <v>0</v>
      </c>
      <c r="K90" s="1003">
        <v>0</v>
      </c>
      <c r="L90" s="1005">
        <v>0</v>
      </c>
      <c r="M90" s="1006">
        <v>0</v>
      </c>
      <c r="N90" s="1003">
        <v>0</v>
      </c>
      <c r="O90" s="1005">
        <v>0</v>
      </c>
      <c r="P90" s="748">
        <f t="shared" si="4"/>
        <v>0</v>
      </c>
    </row>
    <row r="91" spans="1:16" ht="14.15" x14ac:dyDescent="0.35">
      <c r="A91" s="305">
        <v>14</v>
      </c>
      <c r="B91" s="126" t="s">
        <v>27</v>
      </c>
      <c r="C91" s="1002">
        <v>0</v>
      </c>
      <c r="D91" s="1003">
        <v>14</v>
      </c>
      <c r="E91" s="1004">
        <v>0</v>
      </c>
      <c r="F91" s="1002">
        <v>0</v>
      </c>
      <c r="G91" s="1003">
        <v>0</v>
      </c>
      <c r="H91" s="1003">
        <v>0</v>
      </c>
      <c r="I91" s="1003">
        <v>0</v>
      </c>
      <c r="J91" s="1003">
        <v>0</v>
      </c>
      <c r="K91" s="1003">
        <v>0</v>
      </c>
      <c r="L91" s="1005">
        <v>0</v>
      </c>
      <c r="M91" s="1006">
        <v>0</v>
      </c>
      <c r="N91" s="1003">
        <v>0</v>
      </c>
      <c r="O91" s="1005">
        <v>1746</v>
      </c>
      <c r="P91" s="748">
        <f t="shared" si="4"/>
        <v>1760</v>
      </c>
    </row>
    <row r="92" spans="1:16" ht="15.75" customHeight="1" thickBot="1" x14ac:dyDescent="0.4">
      <c r="A92" s="746">
        <v>15</v>
      </c>
      <c r="B92" s="306" t="s">
        <v>28</v>
      </c>
      <c r="C92" s="1071">
        <v>0</v>
      </c>
      <c r="D92" s="1072">
        <v>0</v>
      </c>
      <c r="E92" s="1073">
        <v>0</v>
      </c>
      <c r="F92" s="1071">
        <v>0</v>
      </c>
      <c r="G92" s="1072">
        <v>0</v>
      </c>
      <c r="H92" s="1072">
        <v>0</v>
      </c>
      <c r="I92" s="1072">
        <v>0</v>
      </c>
      <c r="J92" s="1072">
        <v>0</v>
      </c>
      <c r="K92" s="1072">
        <v>0</v>
      </c>
      <c r="L92" s="1074">
        <v>0</v>
      </c>
      <c r="M92" s="1075">
        <v>0</v>
      </c>
      <c r="N92" s="1072">
        <v>0</v>
      </c>
      <c r="O92" s="1074">
        <v>3292</v>
      </c>
      <c r="P92" s="748">
        <f t="shared" si="4"/>
        <v>3292</v>
      </c>
    </row>
    <row r="93" spans="1:16" ht="14.15" x14ac:dyDescent="0.35">
      <c r="A93" s="1608"/>
      <c r="B93" s="1183" t="s">
        <v>541</v>
      </c>
      <c r="C93" s="819">
        <f t="shared" ref="C93:P93" si="5">SUM(C78:C92)</f>
        <v>3377</v>
      </c>
      <c r="D93" s="817">
        <f t="shared" si="5"/>
        <v>14</v>
      </c>
      <c r="E93" s="818">
        <f t="shared" si="5"/>
        <v>0</v>
      </c>
      <c r="F93" s="819">
        <f t="shared" si="5"/>
        <v>0</v>
      </c>
      <c r="G93" s="817">
        <f t="shared" si="5"/>
        <v>0</v>
      </c>
      <c r="H93" s="817">
        <f t="shared" si="5"/>
        <v>0</v>
      </c>
      <c r="I93" s="817">
        <f t="shared" si="5"/>
        <v>0</v>
      </c>
      <c r="J93" s="817">
        <f t="shared" si="5"/>
        <v>0</v>
      </c>
      <c r="K93" s="817">
        <f t="shared" si="5"/>
        <v>0</v>
      </c>
      <c r="L93" s="818">
        <f t="shared" si="5"/>
        <v>0</v>
      </c>
      <c r="M93" s="819">
        <f t="shared" si="5"/>
        <v>0</v>
      </c>
      <c r="N93" s="817">
        <f t="shared" si="5"/>
        <v>3330</v>
      </c>
      <c r="O93" s="818">
        <f t="shared" si="5"/>
        <v>9931</v>
      </c>
      <c r="P93" s="1000">
        <f t="shared" si="5"/>
        <v>16652</v>
      </c>
    </row>
    <row r="94" spans="1:16" s="415" customFormat="1" ht="14.15" x14ac:dyDescent="0.35">
      <c r="A94" s="1609"/>
      <c r="B94" s="1184" t="s">
        <v>463</v>
      </c>
      <c r="C94" s="619">
        <v>3527</v>
      </c>
      <c r="D94" s="359">
        <v>525</v>
      </c>
      <c r="E94" s="358">
        <v>0</v>
      </c>
      <c r="F94" s="619">
        <v>0</v>
      </c>
      <c r="G94" s="359">
        <v>0</v>
      </c>
      <c r="H94" s="359">
        <v>0</v>
      </c>
      <c r="I94" s="359">
        <v>0</v>
      </c>
      <c r="J94" s="359">
        <v>0</v>
      </c>
      <c r="K94" s="359">
        <v>0</v>
      </c>
      <c r="L94" s="751">
        <v>0</v>
      </c>
      <c r="M94" s="752">
        <v>191</v>
      </c>
      <c r="N94" s="359">
        <v>6453</v>
      </c>
      <c r="O94" s="358">
        <v>16249</v>
      </c>
      <c r="P94" s="1182">
        <v>26945</v>
      </c>
    </row>
    <row r="95" spans="1:16" s="415" customFormat="1" ht="14.15" x14ac:dyDescent="0.35">
      <c r="A95" s="1609"/>
      <c r="B95" s="1184" t="s">
        <v>415</v>
      </c>
      <c r="C95" s="619">
        <v>3373</v>
      </c>
      <c r="D95" s="359">
        <v>0</v>
      </c>
      <c r="E95" s="358">
        <v>0</v>
      </c>
      <c r="F95" s="619">
        <v>0</v>
      </c>
      <c r="G95" s="359">
        <v>0</v>
      </c>
      <c r="H95" s="359">
        <v>0</v>
      </c>
      <c r="I95" s="359">
        <v>0</v>
      </c>
      <c r="J95" s="359">
        <v>0</v>
      </c>
      <c r="K95" s="359">
        <v>0</v>
      </c>
      <c r="L95" s="751">
        <v>0</v>
      </c>
      <c r="M95" s="752">
        <v>1459</v>
      </c>
      <c r="N95" s="359">
        <v>6312</v>
      </c>
      <c r="O95" s="358">
        <v>10120</v>
      </c>
      <c r="P95" s="1182">
        <v>21264</v>
      </c>
    </row>
    <row r="96" spans="1:16" s="415" customFormat="1" ht="14.15" x14ac:dyDescent="0.35">
      <c r="A96" s="1337"/>
      <c r="B96" s="1184" t="s">
        <v>367</v>
      </c>
      <c r="C96" s="619">
        <v>3177</v>
      </c>
      <c r="D96" s="359">
        <v>0</v>
      </c>
      <c r="E96" s="358">
        <v>0</v>
      </c>
      <c r="F96" s="619">
        <v>0</v>
      </c>
      <c r="G96" s="359">
        <v>0</v>
      </c>
      <c r="H96" s="359">
        <v>0</v>
      </c>
      <c r="I96" s="359">
        <v>0</v>
      </c>
      <c r="J96" s="359">
        <v>0</v>
      </c>
      <c r="K96" s="359">
        <v>0</v>
      </c>
      <c r="L96" s="751">
        <v>0</v>
      </c>
      <c r="M96" s="752">
        <v>1475</v>
      </c>
      <c r="N96" s="359">
        <v>6397</v>
      </c>
      <c r="O96" s="358">
        <v>16083</v>
      </c>
      <c r="P96" s="754">
        <v>27132</v>
      </c>
    </row>
    <row r="97" spans="1:16" s="415" customFormat="1" ht="14.15" x14ac:dyDescent="0.35">
      <c r="A97" s="357"/>
      <c r="B97" s="622" t="s">
        <v>334</v>
      </c>
      <c r="C97" s="752">
        <v>3685</v>
      </c>
      <c r="D97" s="359">
        <v>0</v>
      </c>
      <c r="E97" s="358">
        <v>0</v>
      </c>
      <c r="F97" s="619">
        <v>0</v>
      </c>
      <c r="G97" s="359">
        <v>0</v>
      </c>
      <c r="H97" s="359">
        <v>0</v>
      </c>
      <c r="I97" s="359">
        <v>0</v>
      </c>
      <c r="J97" s="359">
        <v>0</v>
      </c>
      <c r="K97" s="359">
        <v>0</v>
      </c>
      <c r="L97" s="751">
        <v>0</v>
      </c>
      <c r="M97" s="752">
        <v>1902</v>
      </c>
      <c r="N97" s="359">
        <v>6460</v>
      </c>
      <c r="O97" s="358">
        <v>25215</v>
      </c>
      <c r="P97" s="754">
        <v>37262</v>
      </c>
    </row>
    <row r="98" spans="1:16" s="415" customFormat="1" ht="14.15" x14ac:dyDescent="0.35">
      <c r="A98" s="357"/>
      <c r="B98" s="622" t="s">
        <v>300</v>
      </c>
      <c r="C98" s="752">
        <v>3123</v>
      </c>
      <c r="D98" s="359">
        <v>0</v>
      </c>
      <c r="E98" s="358">
        <v>0</v>
      </c>
      <c r="F98" s="619">
        <v>84</v>
      </c>
      <c r="G98" s="359">
        <v>0</v>
      </c>
      <c r="H98" s="359">
        <v>0</v>
      </c>
      <c r="I98" s="359">
        <v>0</v>
      </c>
      <c r="J98" s="359">
        <v>0</v>
      </c>
      <c r="K98" s="359">
        <v>0</v>
      </c>
      <c r="L98" s="751">
        <v>0</v>
      </c>
      <c r="M98" s="752">
        <v>6800</v>
      </c>
      <c r="N98" s="359">
        <v>0</v>
      </c>
      <c r="O98" s="358">
        <v>21780</v>
      </c>
      <c r="P98" s="754">
        <v>31787</v>
      </c>
    </row>
    <row r="99" spans="1:16" s="349" customFormat="1" ht="14.15" x14ac:dyDescent="0.35">
      <c r="A99" s="357"/>
      <c r="B99" s="623" t="s">
        <v>155</v>
      </c>
      <c r="C99" s="752">
        <v>5175</v>
      </c>
      <c r="D99" s="359">
        <v>0</v>
      </c>
      <c r="E99" s="358">
        <v>0</v>
      </c>
      <c r="F99" s="619">
        <v>9</v>
      </c>
      <c r="G99" s="359">
        <v>0</v>
      </c>
      <c r="H99" s="359">
        <v>0</v>
      </c>
      <c r="I99" s="359">
        <v>0</v>
      </c>
      <c r="J99" s="359">
        <v>0</v>
      </c>
      <c r="K99" s="359">
        <v>0</v>
      </c>
      <c r="L99" s="751">
        <v>0</v>
      </c>
      <c r="M99" s="752">
        <v>5354</v>
      </c>
      <c r="N99" s="359">
        <v>7776</v>
      </c>
      <c r="O99" s="358">
        <v>23777</v>
      </c>
      <c r="P99" s="754">
        <v>42091</v>
      </c>
    </row>
    <row r="100" spans="1:16" ht="14.15" x14ac:dyDescent="0.35">
      <c r="A100" s="123"/>
      <c r="B100" s="624" t="s">
        <v>107</v>
      </c>
      <c r="C100" s="356">
        <v>4226</v>
      </c>
      <c r="D100" s="351">
        <v>0</v>
      </c>
      <c r="E100" s="352">
        <v>0</v>
      </c>
      <c r="F100" s="620">
        <v>75</v>
      </c>
      <c r="G100" s="351">
        <v>0</v>
      </c>
      <c r="H100" s="351">
        <v>0</v>
      </c>
      <c r="I100" s="351">
        <v>0</v>
      </c>
      <c r="J100" s="351">
        <v>0</v>
      </c>
      <c r="K100" s="351">
        <v>0</v>
      </c>
      <c r="L100" s="668">
        <v>0</v>
      </c>
      <c r="M100" s="356">
        <v>5817</v>
      </c>
      <c r="N100" s="351">
        <v>8984</v>
      </c>
      <c r="O100" s="352">
        <v>17209</v>
      </c>
      <c r="P100" s="753">
        <v>36311</v>
      </c>
    </row>
    <row r="101" spans="1:16" ht="14.15" x14ac:dyDescent="0.35">
      <c r="A101" s="123"/>
      <c r="B101" s="624" t="s">
        <v>106</v>
      </c>
      <c r="C101" s="356">
        <v>10908</v>
      </c>
      <c r="D101" s="351">
        <v>0</v>
      </c>
      <c r="E101" s="352">
        <v>0</v>
      </c>
      <c r="F101" s="620">
        <v>0</v>
      </c>
      <c r="G101" s="351">
        <v>0</v>
      </c>
      <c r="H101" s="351">
        <v>0</v>
      </c>
      <c r="I101" s="351">
        <v>0</v>
      </c>
      <c r="J101" s="351">
        <v>0</v>
      </c>
      <c r="K101" s="351">
        <v>0</v>
      </c>
      <c r="L101" s="668">
        <v>0</v>
      </c>
      <c r="M101" s="356">
        <v>13356</v>
      </c>
      <c r="N101" s="351">
        <v>10145</v>
      </c>
      <c r="O101" s="352">
        <v>18365</v>
      </c>
      <c r="P101" s="753">
        <v>52774</v>
      </c>
    </row>
    <row r="102" spans="1:16" ht="14.6" thickBot="1" x14ac:dyDescent="0.4">
      <c r="A102" s="124"/>
      <c r="B102" s="625" t="s">
        <v>38</v>
      </c>
      <c r="C102" s="524">
        <v>9146</v>
      </c>
      <c r="D102" s="353">
        <v>1523</v>
      </c>
      <c r="E102" s="354">
        <v>0</v>
      </c>
      <c r="F102" s="621">
        <v>0</v>
      </c>
      <c r="G102" s="353">
        <v>0</v>
      </c>
      <c r="H102" s="353">
        <v>0</v>
      </c>
      <c r="I102" s="353">
        <v>0</v>
      </c>
      <c r="J102" s="353">
        <v>365</v>
      </c>
      <c r="K102" s="353">
        <v>0</v>
      </c>
      <c r="L102" s="749">
        <v>0</v>
      </c>
      <c r="M102" s="524">
        <v>15511</v>
      </c>
      <c r="N102" s="353">
        <v>10862</v>
      </c>
      <c r="O102" s="354">
        <v>16817</v>
      </c>
      <c r="P102" s="755">
        <v>54224</v>
      </c>
    </row>
    <row r="103" spans="1:16" x14ac:dyDescent="0.3">
      <c r="A103" s="1" t="s">
        <v>41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412" customFormat="1" x14ac:dyDescent="0.3">
      <c r="A104" s="1"/>
      <c r="B104" s="413"/>
      <c r="C104" s="413"/>
      <c r="D104" s="413"/>
      <c r="E104" s="413"/>
      <c r="F104" s="413"/>
      <c r="G104" s="413"/>
      <c r="H104" s="413"/>
      <c r="I104" s="413"/>
      <c r="J104" s="413"/>
      <c r="K104" s="413"/>
      <c r="L104" s="413"/>
      <c r="M104" s="413"/>
      <c r="N104" s="413"/>
      <c r="O104" s="413"/>
      <c r="P104" s="413"/>
    </row>
    <row r="105" spans="1:16" s="412" customFormat="1" x14ac:dyDescent="0.3">
      <c r="A105" s="1"/>
      <c r="B105" s="413"/>
      <c r="C105" s="413"/>
      <c r="D105" s="413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</row>
    <row r="106" spans="1:16" s="412" customFormat="1" x14ac:dyDescent="0.3">
      <c r="A106" s="1"/>
      <c r="B106" s="413"/>
      <c r="C106" s="413"/>
      <c r="D106" s="413"/>
      <c r="E106" s="413"/>
      <c r="F106" s="413"/>
      <c r="G106" s="413"/>
      <c r="H106" s="413"/>
      <c r="I106" s="413"/>
      <c r="J106" s="413" t="s">
        <v>108</v>
      </c>
      <c r="K106" s="413"/>
      <c r="L106" s="413"/>
      <c r="M106" s="413"/>
      <c r="N106" s="413"/>
      <c r="O106" s="413"/>
      <c r="P106" s="413"/>
    </row>
    <row r="107" spans="1:16" s="412" customFormat="1" x14ac:dyDescent="0.3">
      <c r="A107" s="1"/>
      <c r="B107" s="413"/>
      <c r="C107" s="413"/>
      <c r="D107" s="413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</row>
    <row r="108" spans="1:16" s="412" customFormat="1" x14ac:dyDescent="0.3">
      <c r="A108" s="1"/>
      <c r="B108" s="413"/>
      <c r="C108" s="413"/>
      <c r="D108" s="413"/>
      <c r="E108" s="413"/>
      <c r="F108" s="413"/>
      <c r="G108" s="413"/>
      <c r="H108" s="413"/>
      <c r="I108" s="413"/>
      <c r="J108" s="413"/>
      <c r="K108" s="413"/>
      <c r="L108" s="413"/>
      <c r="M108" s="413"/>
      <c r="N108" s="413"/>
      <c r="O108" s="413"/>
      <c r="P108" s="413"/>
    </row>
    <row r="109" spans="1:16" s="412" customFormat="1" x14ac:dyDescent="0.3">
      <c r="A109" s="1"/>
      <c r="B109" s="413"/>
      <c r="C109" s="413"/>
      <c r="D109" s="413"/>
      <c r="E109" s="413"/>
      <c r="F109" s="413"/>
      <c r="G109" s="413"/>
      <c r="H109" s="413"/>
      <c r="I109" s="413"/>
      <c r="J109" s="413"/>
      <c r="K109" s="413"/>
      <c r="L109" s="413"/>
      <c r="M109" s="413"/>
      <c r="N109" s="413"/>
      <c r="O109" s="413"/>
      <c r="P109" s="413"/>
    </row>
    <row r="110" spans="1:16" x14ac:dyDescent="0.3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2" spans="1:16" s="412" customFormat="1" ht="24.75" customHeight="1" x14ac:dyDescent="0.3">
      <c r="L112" s="412" t="s">
        <v>364</v>
      </c>
    </row>
    <row r="113" spans="1:16" s="412" customFormat="1" ht="24.75" customHeight="1" x14ac:dyDescent="0.3">
      <c r="G113" s="412" t="s">
        <v>365</v>
      </c>
      <c r="I113" s="412" t="s">
        <v>108</v>
      </c>
    </row>
    <row r="114" spans="1:16" s="412" customFormat="1" x14ac:dyDescent="0.3"/>
    <row r="115" spans="1:16" ht="19.5" customHeight="1" thickBot="1" x14ac:dyDescent="0.35">
      <c r="A115" s="185" t="s">
        <v>383</v>
      </c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</row>
    <row r="116" spans="1:16" ht="43.5" customHeight="1" thickBot="1" x14ac:dyDescent="0.35">
      <c r="A116" s="49"/>
      <c r="B116" s="10"/>
      <c r="C116" s="1662" t="s">
        <v>42</v>
      </c>
      <c r="D116" s="1662"/>
      <c r="E116" s="1662"/>
      <c r="F116" s="1667" t="s">
        <v>43</v>
      </c>
      <c r="G116" s="1668"/>
      <c r="H116" s="1668"/>
      <c r="I116" s="1668"/>
      <c r="J116" s="1668"/>
      <c r="K116" s="1668"/>
      <c r="L116" s="1669"/>
      <c r="M116" s="1662" t="s">
        <v>44</v>
      </c>
      <c r="N116" s="1662"/>
      <c r="O116" s="1662"/>
      <c r="P116" s="41"/>
    </row>
    <row r="117" spans="1:16" ht="110.25" customHeight="1" thickBot="1" x14ac:dyDescent="0.35">
      <c r="A117" s="34" t="s">
        <v>39</v>
      </c>
      <c r="B117" s="52" t="s">
        <v>3</v>
      </c>
      <c r="C117" s="34" t="s">
        <v>114</v>
      </c>
      <c r="D117" s="35" t="s">
        <v>113</v>
      </c>
      <c r="E117" s="52" t="s">
        <v>282</v>
      </c>
      <c r="F117" s="41" t="s">
        <v>115</v>
      </c>
      <c r="G117" s="33" t="s">
        <v>116</v>
      </c>
      <c r="H117" s="35" t="s">
        <v>283</v>
      </c>
      <c r="I117" s="33" t="s">
        <v>284</v>
      </c>
      <c r="J117" s="33" t="s">
        <v>285</v>
      </c>
      <c r="K117" s="33" t="s">
        <v>45</v>
      </c>
      <c r="L117" s="54" t="s">
        <v>117</v>
      </c>
      <c r="M117" s="34" t="s">
        <v>46</v>
      </c>
      <c r="N117" s="35" t="s">
        <v>286</v>
      </c>
      <c r="O117" s="33" t="s">
        <v>287</v>
      </c>
      <c r="P117" s="41" t="s">
        <v>169</v>
      </c>
    </row>
    <row r="118" spans="1:16" ht="14.15" x14ac:dyDescent="0.35">
      <c r="A118" s="303">
        <v>1</v>
      </c>
      <c r="B118" s="304" t="s">
        <v>14</v>
      </c>
      <c r="C118" s="1065">
        <f t="shared" ref="C118:O118" si="6">C78+C42+C12</f>
        <v>5920</v>
      </c>
      <c r="D118" s="1066">
        <f t="shared" si="6"/>
        <v>657</v>
      </c>
      <c r="E118" s="1067">
        <f t="shared" si="6"/>
        <v>333</v>
      </c>
      <c r="F118" s="1065">
        <f t="shared" si="6"/>
        <v>36458</v>
      </c>
      <c r="G118" s="1066">
        <f t="shared" si="6"/>
        <v>11699</v>
      </c>
      <c r="H118" s="1066">
        <f t="shared" si="6"/>
        <v>3098</v>
      </c>
      <c r="I118" s="1066">
        <f t="shared" si="6"/>
        <v>799</v>
      </c>
      <c r="J118" s="1066">
        <f t="shared" si="6"/>
        <v>1417</v>
      </c>
      <c r="K118" s="1066">
        <f t="shared" si="6"/>
        <v>0</v>
      </c>
      <c r="L118" s="1068">
        <f t="shared" si="6"/>
        <v>734</v>
      </c>
      <c r="M118" s="1069">
        <f t="shared" si="6"/>
        <v>12125</v>
      </c>
      <c r="N118" s="1066">
        <f t="shared" si="6"/>
        <v>0</v>
      </c>
      <c r="O118" s="1068">
        <f t="shared" si="6"/>
        <v>0</v>
      </c>
      <c r="P118" s="1070">
        <f t="shared" ref="P118:P132" si="7">SUM(C118:O118)</f>
        <v>73240</v>
      </c>
    </row>
    <row r="119" spans="1:16" ht="14.15" x14ac:dyDescent="0.35">
      <c r="A119" s="305">
        <v>2</v>
      </c>
      <c r="B119" s="126" t="s">
        <v>15</v>
      </c>
      <c r="C119" s="1002">
        <f t="shared" ref="C119:O119" si="8">C79+C43+C13</f>
        <v>4370</v>
      </c>
      <c r="D119" s="1003">
        <f t="shared" si="8"/>
        <v>3428</v>
      </c>
      <c r="E119" s="1004">
        <f t="shared" si="8"/>
        <v>250</v>
      </c>
      <c r="F119" s="1002">
        <f t="shared" si="8"/>
        <v>38304</v>
      </c>
      <c r="G119" s="1003">
        <f t="shared" si="8"/>
        <v>12112</v>
      </c>
      <c r="H119" s="1003">
        <f t="shared" si="8"/>
        <v>4517</v>
      </c>
      <c r="I119" s="1003">
        <f t="shared" si="8"/>
        <v>1103</v>
      </c>
      <c r="J119" s="1003">
        <f t="shared" si="8"/>
        <v>2241</v>
      </c>
      <c r="K119" s="1003">
        <f t="shared" si="8"/>
        <v>0</v>
      </c>
      <c r="L119" s="1005">
        <f t="shared" si="8"/>
        <v>1112</v>
      </c>
      <c r="M119" s="1006">
        <f t="shared" si="8"/>
        <v>2395</v>
      </c>
      <c r="N119" s="1003">
        <f t="shared" si="8"/>
        <v>270</v>
      </c>
      <c r="O119" s="1005">
        <f t="shared" si="8"/>
        <v>2187</v>
      </c>
      <c r="P119" s="1007">
        <f t="shared" si="7"/>
        <v>72289</v>
      </c>
    </row>
    <row r="120" spans="1:16" ht="14.15" x14ac:dyDescent="0.35">
      <c r="A120" s="305">
        <v>3</v>
      </c>
      <c r="B120" s="126" t="s">
        <v>16</v>
      </c>
      <c r="C120" s="1002">
        <f t="shared" ref="C120:O120" si="9">C80+C44+C14</f>
        <v>8802</v>
      </c>
      <c r="D120" s="1003">
        <f t="shared" si="9"/>
        <v>1283</v>
      </c>
      <c r="E120" s="1004">
        <f t="shared" si="9"/>
        <v>162</v>
      </c>
      <c r="F120" s="1002">
        <f t="shared" si="9"/>
        <v>38054</v>
      </c>
      <c r="G120" s="1003">
        <f t="shared" si="9"/>
        <v>13590</v>
      </c>
      <c r="H120" s="1003">
        <f t="shared" si="9"/>
        <v>3816</v>
      </c>
      <c r="I120" s="1003">
        <f t="shared" si="9"/>
        <v>518</v>
      </c>
      <c r="J120" s="1003">
        <f t="shared" si="9"/>
        <v>0</v>
      </c>
      <c r="K120" s="1003">
        <f t="shared" si="9"/>
        <v>0</v>
      </c>
      <c r="L120" s="1005">
        <f t="shared" si="9"/>
        <v>705</v>
      </c>
      <c r="M120" s="1006">
        <f t="shared" si="9"/>
        <v>1162</v>
      </c>
      <c r="N120" s="1003">
        <f t="shared" si="9"/>
        <v>3695</v>
      </c>
      <c r="O120" s="1005">
        <f t="shared" si="9"/>
        <v>848</v>
      </c>
      <c r="P120" s="1007">
        <f t="shared" si="7"/>
        <v>72635</v>
      </c>
    </row>
    <row r="121" spans="1:16" ht="14.15" x14ac:dyDescent="0.35">
      <c r="A121" s="305">
        <v>4</v>
      </c>
      <c r="B121" s="126" t="s">
        <v>17</v>
      </c>
      <c r="C121" s="1002">
        <f t="shared" ref="C121:O121" si="10">C81+C45+C15</f>
        <v>1716</v>
      </c>
      <c r="D121" s="1003">
        <f t="shared" si="10"/>
        <v>2328</v>
      </c>
      <c r="E121" s="1004">
        <f t="shared" si="10"/>
        <v>337</v>
      </c>
      <c r="F121" s="1002">
        <f t="shared" si="10"/>
        <v>25881</v>
      </c>
      <c r="G121" s="1003">
        <f t="shared" si="10"/>
        <v>3103</v>
      </c>
      <c r="H121" s="1003">
        <f t="shared" si="10"/>
        <v>6777</v>
      </c>
      <c r="I121" s="1003">
        <f t="shared" si="10"/>
        <v>352</v>
      </c>
      <c r="J121" s="1003">
        <f t="shared" si="10"/>
        <v>730</v>
      </c>
      <c r="K121" s="1003">
        <f t="shared" si="10"/>
        <v>0</v>
      </c>
      <c r="L121" s="1005">
        <f t="shared" si="10"/>
        <v>0</v>
      </c>
      <c r="M121" s="1006">
        <f t="shared" si="10"/>
        <v>0</v>
      </c>
      <c r="N121" s="1003">
        <f t="shared" si="10"/>
        <v>0</v>
      </c>
      <c r="O121" s="1005">
        <f t="shared" si="10"/>
        <v>0</v>
      </c>
      <c r="P121" s="1007">
        <f t="shared" si="7"/>
        <v>41224</v>
      </c>
    </row>
    <row r="122" spans="1:16" ht="14.15" x14ac:dyDescent="0.35">
      <c r="A122" s="305">
        <v>5</v>
      </c>
      <c r="B122" s="126" t="s">
        <v>18</v>
      </c>
      <c r="C122" s="1002">
        <f t="shared" ref="C122:O122" si="11">C82+C46+C16</f>
        <v>8517</v>
      </c>
      <c r="D122" s="1003">
        <f t="shared" si="11"/>
        <v>2790</v>
      </c>
      <c r="E122" s="1004">
        <f t="shared" si="11"/>
        <v>206</v>
      </c>
      <c r="F122" s="1002">
        <f t="shared" si="11"/>
        <v>97374</v>
      </c>
      <c r="G122" s="1003">
        <f t="shared" si="11"/>
        <v>24207</v>
      </c>
      <c r="H122" s="1003">
        <f t="shared" si="11"/>
        <v>6595</v>
      </c>
      <c r="I122" s="1003">
        <f t="shared" si="11"/>
        <v>545</v>
      </c>
      <c r="J122" s="1003">
        <f t="shared" si="11"/>
        <v>2913</v>
      </c>
      <c r="K122" s="1003">
        <f t="shared" si="11"/>
        <v>9</v>
      </c>
      <c r="L122" s="1005">
        <f t="shared" si="11"/>
        <v>165</v>
      </c>
      <c r="M122" s="1006">
        <f t="shared" si="11"/>
        <v>1147</v>
      </c>
      <c r="N122" s="1003">
        <f t="shared" si="11"/>
        <v>0</v>
      </c>
      <c r="O122" s="1005">
        <f t="shared" si="11"/>
        <v>1307</v>
      </c>
      <c r="P122" s="1007">
        <f t="shared" si="7"/>
        <v>145775</v>
      </c>
    </row>
    <row r="123" spans="1:16" ht="14.15" x14ac:dyDescent="0.35">
      <c r="A123" s="305">
        <v>6</v>
      </c>
      <c r="B123" s="126" t="s">
        <v>19</v>
      </c>
      <c r="C123" s="1002">
        <f t="shared" ref="C123:O123" si="12">C83+C47+C17</f>
        <v>8533</v>
      </c>
      <c r="D123" s="1003">
        <f t="shared" si="12"/>
        <v>2464</v>
      </c>
      <c r="E123" s="1004">
        <f t="shared" si="12"/>
        <v>586</v>
      </c>
      <c r="F123" s="1002">
        <f t="shared" si="12"/>
        <v>69610</v>
      </c>
      <c r="G123" s="1003">
        <f t="shared" si="12"/>
        <v>18401</v>
      </c>
      <c r="H123" s="1003">
        <f t="shared" si="12"/>
        <v>2109</v>
      </c>
      <c r="I123" s="1003">
        <f t="shared" si="12"/>
        <v>793</v>
      </c>
      <c r="J123" s="1003">
        <f t="shared" si="12"/>
        <v>730</v>
      </c>
      <c r="K123" s="1003">
        <f t="shared" si="12"/>
        <v>0</v>
      </c>
      <c r="L123" s="1005">
        <f t="shared" si="12"/>
        <v>0</v>
      </c>
      <c r="M123" s="1006">
        <f t="shared" si="12"/>
        <v>942</v>
      </c>
      <c r="N123" s="1003">
        <f t="shared" si="12"/>
        <v>0</v>
      </c>
      <c r="O123" s="1005">
        <f t="shared" si="12"/>
        <v>928</v>
      </c>
      <c r="P123" s="1007">
        <f t="shared" si="7"/>
        <v>105096</v>
      </c>
    </row>
    <row r="124" spans="1:16" ht="14.15" x14ac:dyDescent="0.35">
      <c r="A124" s="305">
        <v>7</v>
      </c>
      <c r="B124" s="126" t="s">
        <v>20</v>
      </c>
      <c r="C124" s="1002">
        <f t="shared" ref="C124:O124" si="13">C84+C48+C18</f>
        <v>8710</v>
      </c>
      <c r="D124" s="1003">
        <f t="shared" si="13"/>
        <v>3590</v>
      </c>
      <c r="E124" s="1004">
        <f t="shared" si="13"/>
        <v>491</v>
      </c>
      <c r="F124" s="1002">
        <f t="shared" si="13"/>
        <v>82465</v>
      </c>
      <c r="G124" s="1003">
        <f t="shared" si="13"/>
        <v>20309</v>
      </c>
      <c r="H124" s="1003">
        <f t="shared" si="13"/>
        <v>4062</v>
      </c>
      <c r="I124" s="1003">
        <f t="shared" si="13"/>
        <v>3257</v>
      </c>
      <c r="J124" s="1003">
        <f t="shared" si="13"/>
        <v>1390</v>
      </c>
      <c r="K124" s="1003">
        <f t="shared" si="13"/>
        <v>23</v>
      </c>
      <c r="L124" s="1005">
        <f t="shared" si="13"/>
        <v>393</v>
      </c>
      <c r="M124" s="1006">
        <f t="shared" si="13"/>
        <v>2292</v>
      </c>
      <c r="N124" s="1003">
        <f t="shared" si="13"/>
        <v>0</v>
      </c>
      <c r="O124" s="1005">
        <f t="shared" si="13"/>
        <v>3461</v>
      </c>
      <c r="P124" s="1007">
        <f t="shared" si="7"/>
        <v>130443</v>
      </c>
    </row>
    <row r="125" spans="1:16" ht="14.15" x14ac:dyDescent="0.35">
      <c r="A125" s="305">
        <v>8</v>
      </c>
      <c r="B125" s="126" t="s">
        <v>21</v>
      </c>
      <c r="C125" s="1002">
        <f t="shared" ref="C125:O125" si="14">C85+C49+C19</f>
        <v>4724</v>
      </c>
      <c r="D125" s="1003">
        <f t="shared" si="14"/>
        <v>3295</v>
      </c>
      <c r="E125" s="1004">
        <f t="shared" si="14"/>
        <v>304</v>
      </c>
      <c r="F125" s="1002">
        <f t="shared" si="14"/>
        <v>81287</v>
      </c>
      <c r="G125" s="1003">
        <f t="shared" si="14"/>
        <v>24138</v>
      </c>
      <c r="H125" s="1003">
        <f t="shared" si="14"/>
        <v>2636</v>
      </c>
      <c r="I125" s="1003">
        <f t="shared" si="14"/>
        <v>1145</v>
      </c>
      <c r="J125" s="1003">
        <f t="shared" si="14"/>
        <v>113</v>
      </c>
      <c r="K125" s="1003">
        <f t="shared" si="14"/>
        <v>0</v>
      </c>
      <c r="L125" s="1005">
        <f t="shared" si="14"/>
        <v>841</v>
      </c>
      <c r="M125" s="1006">
        <f t="shared" si="14"/>
        <v>1883</v>
      </c>
      <c r="N125" s="1003">
        <f t="shared" si="14"/>
        <v>0</v>
      </c>
      <c r="O125" s="1005">
        <f t="shared" si="14"/>
        <v>3052</v>
      </c>
      <c r="P125" s="1007">
        <f t="shared" si="7"/>
        <v>123418</v>
      </c>
    </row>
    <row r="126" spans="1:16" ht="14.15" x14ac:dyDescent="0.35">
      <c r="A126" s="305">
        <v>9</v>
      </c>
      <c r="B126" s="126" t="s">
        <v>22</v>
      </c>
      <c r="C126" s="1002">
        <f t="shared" ref="C126:O126" si="15">C86+C50+C20</f>
        <v>11595</v>
      </c>
      <c r="D126" s="1003">
        <f t="shared" si="15"/>
        <v>526</v>
      </c>
      <c r="E126" s="1004">
        <f t="shared" si="15"/>
        <v>135</v>
      </c>
      <c r="F126" s="1002">
        <f t="shared" si="15"/>
        <v>39308</v>
      </c>
      <c r="G126" s="1003">
        <f t="shared" si="15"/>
        <v>14282</v>
      </c>
      <c r="H126" s="1003">
        <f t="shared" si="15"/>
        <v>1941</v>
      </c>
      <c r="I126" s="1003">
        <f t="shared" si="15"/>
        <v>1516</v>
      </c>
      <c r="J126" s="1003">
        <f t="shared" si="15"/>
        <v>431</v>
      </c>
      <c r="K126" s="1003">
        <f t="shared" si="15"/>
        <v>195</v>
      </c>
      <c r="L126" s="1005">
        <f t="shared" si="15"/>
        <v>0</v>
      </c>
      <c r="M126" s="1006">
        <f t="shared" si="15"/>
        <v>1181</v>
      </c>
      <c r="N126" s="1003">
        <f t="shared" si="15"/>
        <v>549</v>
      </c>
      <c r="O126" s="1005">
        <f t="shared" si="15"/>
        <v>729</v>
      </c>
      <c r="P126" s="1007">
        <f t="shared" si="7"/>
        <v>72388</v>
      </c>
    </row>
    <row r="127" spans="1:16" ht="14.15" x14ac:dyDescent="0.35">
      <c r="A127" s="305">
        <v>10</v>
      </c>
      <c r="B127" s="126" t="s">
        <v>23</v>
      </c>
      <c r="C127" s="1002">
        <f t="shared" ref="C127:O127" si="16">C87+C51+C21</f>
        <v>7567</v>
      </c>
      <c r="D127" s="1003">
        <f t="shared" si="16"/>
        <v>1929</v>
      </c>
      <c r="E127" s="1004">
        <f t="shared" si="16"/>
        <v>64</v>
      </c>
      <c r="F127" s="1002">
        <f t="shared" si="16"/>
        <v>41301</v>
      </c>
      <c r="G127" s="1003">
        <f t="shared" si="16"/>
        <v>17347</v>
      </c>
      <c r="H127" s="1003">
        <f t="shared" si="16"/>
        <v>2313</v>
      </c>
      <c r="I127" s="1003">
        <f t="shared" si="16"/>
        <v>730</v>
      </c>
      <c r="J127" s="1003">
        <f t="shared" si="16"/>
        <v>365</v>
      </c>
      <c r="K127" s="1003">
        <f t="shared" si="16"/>
        <v>0</v>
      </c>
      <c r="L127" s="1005">
        <f t="shared" si="16"/>
        <v>0</v>
      </c>
      <c r="M127" s="1006">
        <f t="shared" si="16"/>
        <v>731</v>
      </c>
      <c r="N127" s="1003">
        <f t="shared" si="16"/>
        <v>0</v>
      </c>
      <c r="O127" s="1005">
        <f t="shared" si="16"/>
        <v>835</v>
      </c>
      <c r="P127" s="1007">
        <f t="shared" si="7"/>
        <v>73182</v>
      </c>
    </row>
    <row r="128" spans="1:16" ht="14.15" x14ac:dyDescent="0.35">
      <c r="A128" s="305">
        <v>11</v>
      </c>
      <c r="B128" s="126" t="s">
        <v>24</v>
      </c>
      <c r="C128" s="1002">
        <f t="shared" ref="C128:O128" si="17">C88+C52+C22</f>
        <v>3583</v>
      </c>
      <c r="D128" s="1003">
        <f t="shared" si="17"/>
        <v>2503</v>
      </c>
      <c r="E128" s="1004">
        <f t="shared" si="17"/>
        <v>289</v>
      </c>
      <c r="F128" s="1002">
        <f t="shared" si="17"/>
        <v>51588</v>
      </c>
      <c r="G128" s="1003">
        <f t="shared" si="17"/>
        <v>12063</v>
      </c>
      <c r="H128" s="1003">
        <f t="shared" si="17"/>
        <v>3083</v>
      </c>
      <c r="I128" s="1003">
        <f t="shared" si="17"/>
        <v>1460</v>
      </c>
      <c r="J128" s="1003">
        <f t="shared" si="17"/>
        <v>0</v>
      </c>
      <c r="K128" s="1003">
        <f t="shared" si="17"/>
        <v>0</v>
      </c>
      <c r="L128" s="1005">
        <f t="shared" si="17"/>
        <v>0</v>
      </c>
      <c r="M128" s="1006">
        <f t="shared" si="17"/>
        <v>0</v>
      </c>
      <c r="N128" s="1003">
        <f t="shared" si="17"/>
        <v>0</v>
      </c>
      <c r="O128" s="1005">
        <f t="shared" si="17"/>
        <v>3094</v>
      </c>
      <c r="P128" s="1007">
        <f t="shared" si="7"/>
        <v>77663</v>
      </c>
    </row>
    <row r="129" spans="1:23" s="415" customFormat="1" ht="14.15" x14ac:dyDescent="0.35">
      <c r="A129" s="305">
        <v>12</v>
      </c>
      <c r="B129" s="126" t="s">
        <v>25</v>
      </c>
      <c r="C129" s="1002">
        <f t="shared" ref="C129:O129" si="18">C89+C53+C23</f>
        <v>6281</v>
      </c>
      <c r="D129" s="1003">
        <f t="shared" si="18"/>
        <v>8320</v>
      </c>
      <c r="E129" s="1004">
        <f t="shared" si="18"/>
        <v>355</v>
      </c>
      <c r="F129" s="1002">
        <f t="shared" si="18"/>
        <v>78932</v>
      </c>
      <c r="G129" s="1003">
        <f t="shared" si="18"/>
        <v>24107</v>
      </c>
      <c r="H129" s="1003">
        <f t="shared" si="18"/>
        <v>7869</v>
      </c>
      <c r="I129" s="1003">
        <f t="shared" si="18"/>
        <v>1916</v>
      </c>
      <c r="J129" s="1003">
        <f t="shared" si="18"/>
        <v>730</v>
      </c>
      <c r="K129" s="1003">
        <f t="shared" si="18"/>
        <v>39</v>
      </c>
      <c r="L129" s="1005">
        <f t="shared" si="18"/>
        <v>1086</v>
      </c>
      <c r="M129" s="1006">
        <f t="shared" si="18"/>
        <v>6819</v>
      </c>
      <c r="N129" s="1003">
        <f t="shared" si="18"/>
        <v>365</v>
      </c>
      <c r="O129" s="1005">
        <f t="shared" si="18"/>
        <v>2930</v>
      </c>
      <c r="P129" s="1007">
        <f t="shared" si="7"/>
        <v>139749</v>
      </c>
    </row>
    <row r="130" spans="1:23" ht="14.15" x14ac:dyDescent="0.35">
      <c r="A130" s="305">
        <v>13</v>
      </c>
      <c r="B130" s="126" t="s">
        <v>26</v>
      </c>
      <c r="C130" s="1002">
        <f t="shared" ref="C130:O130" si="19">C90+C54+C24</f>
        <v>12931</v>
      </c>
      <c r="D130" s="1003">
        <f t="shared" si="19"/>
        <v>7522</v>
      </c>
      <c r="E130" s="1004">
        <f t="shared" si="19"/>
        <v>351</v>
      </c>
      <c r="F130" s="1002">
        <f t="shared" si="19"/>
        <v>122756</v>
      </c>
      <c r="G130" s="1003">
        <f t="shared" si="19"/>
        <v>32711</v>
      </c>
      <c r="H130" s="1003">
        <f t="shared" si="19"/>
        <v>4808</v>
      </c>
      <c r="I130" s="1003">
        <f t="shared" si="19"/>
        <v>2880</v>
      </c>
      <c r="J130" s="1003">
        <f t="shared" si="19"/>
        <v>1598</v>
      </c>
      <c r="K130" s="1003">
        <f t="shared" si="19"/>
        <v>0</v>
      </c>
      <c r="L130" s="1005">
        <f t="shared" si="19"/>
        <v>810</v>
      </c>
      <c r="M130" s="1006">
        <f t="shared" si="19"/>
        <v>728</v>
      </c>
      <c r="N130" s="1003">
        <f t="shared" si="19"/>
        <v>2187</v>
      </c>
      <c r="O130" s="1005">
        <f t="shared" si="19"/>
        <v>2587</v>
      </c>
      <c r="P130" s="1007">
        <f t="shared" si="7"/>
        <v>191869</v>
      </c>
    </row>
    <row r="131" spans="1:23" ht="14.15" x14ac:dyDescent="0.35">
      <c r="A131" s="305">
        <v>14</v>
      </c>
      <c r="B131" s="126" t="s">
        <v>27</v>
      </c>
      <c r="C131" s="1002">
        <f t="shared" ref="C131:O131" si="20">C91+C55+C25</f>
        <v>9689</v>
      </c>
      <c r="D131" s="1003">
        <f t="shared" si="20"/>
        <v>6693</v>
      </c>
      <c r="E131" s="1004">
        <f t="shared" si="20"/>
        <v>192</v>
      </c>
      <c r="F131" s="1002">
        <f t="shared" si="20"/>
        <v>123178</v>
      </c>
      <c r="G131" s="1003">
        <f t="shared" si="20"/>
        <v>33781</v>
      </c>
      <c r="H131" s="1003">
        <f t="shared" si="20"/>
        <v>4625</v>
      </c>
      <c r="I131" s="1003">
        <f t="shared" si="20"/>
        <v>1165</v>
      </c>
      <c r="J131" s="1003">
        <f t="shared" si="20"/>
        <v>0</v>
      </c>
      <c r="K131" s="1003">
        <f t="shared" si="20"/>
        <v>0</v>
      </c>
      <c r="L131" s="1005">
        <f t="shared" si="20"/>
        <v>323</v>
      </c>
      <c r="M131" s="1006">
        <f t="shared" si="20"/>
        <v>3110</v>
      </c>
      <c r="N131" s="1003">
        <f t="shared" si="20"/>
        <v>1641</v>
      </c>
      <c r="O131" s="1005">
        <f t="shared" si="20"/>
        <v>2330</v>
      </c>
      <c r="P131" s="1007">
        <f t="shared" si="7"/>
        <v>186727</v>
      </c>
    </row>
    <row r="132" spans="1:23" ht="15.75" customHeight="1" thickBot="1" x14ac:dyDescent="0.4">
      <c r="A132" s="746">
        <v>15</v>
      </c>
      <c r="B132" s="306" t="s">
        <v>28</v>
      </c>
      <c r="C132" s="1071">
        <f t="shared" ref="C132:O132" si="21">C92+C56+C26</f>
        <v>3340</v>
      </c>
      <c r="D132" s="1072">
        <f t="shared" si="21"/>
        <v>2032</v>
      </c>
      <c r="E132" s="1073">
        <f t="shared" si="21"/>
        <v>159</v>
      </c>
      <c r="F132" s="1071">
        <f t="shared" si="21"/>
        <v>29142</v>
      </c>
      <c r="G132" s="1072">
        <f t="shared" si="21"/>
        <v>8882</v>
      </c>
      <c r="H132" s="1072">
        <f t="shared" si="21"/>
        <v>365</v>
      </c>
      <c r="I132" s="1072">
        <f t="shared" si="21"/>
        <v>365</v>
      </c>
      <c r="J132" s="1072">
        <f t="shared" si="21"/>
        <v>365</v>
      </c>
      <c r="K132" s="1072">
        <f t="shared" si="21"/>
        <v>402</v>
      </c>
      <c r="L132" s="1074">
        <f t="shared" si="21"/>
        <v>60</v>
      </c>
      <c r="M132" s="1075">
        <f t="shared" si="21"/>
        <v>3842</v>
      </c>
      <c r="N132" s="1072">
        <f t="shared" si="21"/>
        <v>382</v>
      </c>
      <c r="O132" s="1074">
        <f t="shared" si="21"/>
        <v>7726</v>
      </c>
      <c r="P132" s="1076">
        <f t="shared" si="7"/>
        <v>57062</v>
      </c>
      <c r="S132" t="s">
        <v>443</v>
      </c>
      <c r="V132" s="1107">
        <f>P27/P133</f>
        <v>0.9381024597506975</v>
      </c>
    </row>
    <row r="133" spans="1:23" s="1016" customFormat="1" ht="14.15" x14ac:dyDescent="0.35">
      <c r="A133" s="1009"/>
      <c r="B133" s="999" t="s">
        <v>541</v>
      </c>
      <c r="C133" s="1010">
        <f t="shared" ref="C133:P133" si="22">SUM(C118:C132)</f>
        <v>106278</v>
      </c>
      <c r="D133" s="1011">
        <f t="shared" si="22"/>
        <v>49360</v>
      </c>
      <c r="E133" s="1012">
        <f t="shared" si="22"/>
        <v>4214</v>
      </c>
      <c r="F133" s="1010">
        <f t="shared" si="22"/>
        <v>955638</v>
      </c>
      <c r="G133" s="1011">
        <f t="shared" si="22"/>
        <v>270732</v>
      </c>
      <c r="H133" s="1011">
        <f t="shared" si="22"/>
        <v>58614</v>
      </c>
      <c r="I133" s="1011">
        <f t="shared" si="22"/>
        <v>18544</v>
      </c>
      <c r="J133" s="1011">
        <f t="shared" si="22"/>
        <v>13023</v>
      </c>
      <c r="K133" s="1011">
        <f t="shared" si="22"/>
        <v>668</v>
      </c>
      <c r="L133" s="1013">
        <f t="shared" si="22"/>
        <v>6229</v>
      </c>
      <c r="M133" s="1014">
        <f t="shared" si="22"/>
        <v>38357</v>
      </c>
      <c r="N133" s="1011">
        <f t="shared" si="22"/>
        <v>9089</v>
      </c>
      <c r="O133" s="1013">
        <f t="shared" si="22"/>
        <v>32014</v>
      </c>
      <c r="P133" s="1015">
        <f t="shared" si="22"/>
        <v>1562760</v>
      </c>
      <c r="S133" s="1016" t="s">
        <v>444</v>
      </c>
      <c r="V133" s="1108">
        <f>P57/P133</f>
        <v>5.1242033325654614E-2</v>
      </c>
    </row>
    <row r="134" spans="1:23" s="417" customFormat="1" ht="14.15" x14ac:dyDescent="0.35">
      <c r="A134" s="1291"/>
      <c r="B134" s="1447" t="s">
        <v>463</v>
      </c>
      <c r="C134" s="1448">
        <v>110064</v>
      </c>
      <c r="D134" s="1449">
        <v>45661</v>
      </c>
      <c r="E134" s="1450">
        <v>5059</v>
      </c>
      <c r="F134" s="1448">
        <v>986970</v>
      </c>
      <c r="G134" s="1449">
        <v>274887</v>
      </c>
      <c r="H134" s="1449">
        <v>51884</v>
      </c>
      <c r="I134" s="1449">
        <v>19188</v>
      </c>
      <c r="J134" s="1449">
        <v>10531</v>
      </c>
      <c r="K134" s="1449">
        <v>914</v>
      </c>
      <c r="L134" s="1451">
        <v>5911</v>
      </c>
      <c r="M134" s="1452">
        <v>44221</v>
      </c>
      <c r="N134" s="1449">
        <v>21958</v>
      </c>
      <c r="O134" s="1451">
        <v>41608</v>
      </c>
      <c r="P134" s="1453">
        <v>1618856</v>
      </c>
      <c r="S134" s="417" t="s">
        <v>444</v>
      </c>
      <c r="V134" s="1454">
        <v>5.3729917917344099E-2</v>
      </c>
    </row>
    <row r="135" spans="1:23" s="417" customFormat="1" ht="14.15" x14ac:dyDescent="0.35">
      <c r="A135" s="1291"/>
      <c r="B135" s="1447" t="s">
        <v>415</v>
      </c>
      <c r="C135" s="1448">
        <v>104102</v>
      </c>
      <c r="D135" s="1449">
        <v>39776</v>
      </c>
      <c r="E135" s="1450">
        <v>4847</v>
      </c>
      <c r="F135" s="1448">
        <v>1011249</v>
      </c>
      <c r="G135" s="1449">
        <v>284855</v>
      </c>
      <c r="H135" s="1449">
        <v>47077</v>
      </c>
      <c r="I135" s="1449">
        <v>23390</v>
      </c>
      <c r="J135" s="1449">
        <v>15625</v>
      </c>
      <c r="K135" s="1449">
        <v>2231</v>
      </c>
      <c r="L135" s="1451">
        <v>3691</v>
      </c>
      <c r="M135" s="1452">
        <v>59896</v>
      </c>
      <c r="N135" s="1449">
        <v>27373</v>
      </c>
      <c r="O135" s="1451">
        <v>31158</v>
      </c>
      <c r="P135" s="1453">
        <v>1655270</v>
      </c>
      <c r="V135" s="1454"/>
    </row>
    <row r="136" spans="1:23" s="1001" customFormat="1" ht="14.15" x14ac:dyDescent="0.35">
      <c r="A136" s="305"/>
      <c r="B136" s="1008" t="s">
        <v>367</v>
      </c>
      <c r="C136" s="1002">
        <v>130654</v>
      </c>
      <c r="D136" s="1003">
        <v>42088</v>
      </c>
      <c r="E136" s="1004">
        <v>3893</v>
      </c>
      <c r="F136" s="1002">
        <v>1043838</v>
      </c>
      <c r="G136" s="1003">
        <v>289058</v>
      </c>
      <c r="H136" s="1003">
        <v>46429</v>
      </c>
      <c r="I136" s="1003">
        <v>24396</v>
      </c>
      <c r="J136" s="1003">
        <v>4494</v>
      </c>
      <c r="K136" s="1003">
        <v>2438</v>
      </c>
      <c r="L136" s="1005">
        <v>5679</v>
      </c>
      <c r="M136" s="1006">
        <v>82145</v>
      </c>
      <c r="N136" s="1003">
        <v>27983</v>
      </c>
      <c r="O136" s="1005">
        <v>42896</v>
      </c>
      <c r="P136" s="1007">
        <v>1745991</v>
      </c>
      <c r="S136" s="1001" t="s">
        <v>445</v>
      </c>
      <c r="V136" s="1109">
        <f>P93/P133</f>
        <v>1.0655506923647905E-2</v>
      </c>
    </row>
    <row r="137" spans="1:23" s="1001" customFormat="1" ht="14.15" x14ac:dyDescent="0.35">
      <c r="A137" s="305"/>
      <c r="B137" s="1008" t="s">
        <v>334</v>
      </c>
      <c r="C137" s="1002">
        <v>141248</v>
      </c>
      <c r="D137" s="1003">
        <v>37029</v>
      </c>
      <c r="E137" s="1004">
        <v>3816</v>
      </c>
      <c r="F137" s="1002">
        <v>1065774</v>
      </c>
      <c r="G137" s="1003">
        <v>296246</v>
      </c>
      <c r="H137" s="1003">
        <v>45389</v>
      </c>
      <c r="I137" s="1003">
        <v>24381</v>
      </c>
      <c r="J137" s="1003">
        <v>4392</v>
      </c>
      <c r="K137" s="1003">
        <v>2992</v>
      </c>
      <c r="L137" s="1005">
        <v>5159</v>
      </c>
      <c r="M137" s="1006">
        <v>86427</v>
      </c>
      <c r="N137" s="1003">
        <v>31379</v>
      </c>
      <c r="O137" s="1005">
        <v>60224.5</v>
      </c>
      <c r="P137" s="1007">
        <v>1804456.5</v>
      </c>
    </row>
    <row r="138" spans="1:23" s="1001" customFormat="1" ht="14.15" x14ac:dyDescent="0.35">
      <c r="A138" s="305"/>
      <c r="B138" s="1008" t="s">
        <v>300</v>
      </c>
      <c r="C138" s="1002">
        <v>151294</v>
      </c>
      <c r="D138" s="1003">
        <v>33802</v>
      </c>
      <c r="E138" s="1004">
        <v>3413</v>
      </c>
      <c r="F138" s="1002">
        <v>1068176</v>
      </c>
      <c r="G138" s="1003">
        <v>300742</v>
      </c>
      <c r="H138" s="1003">
        <v>45096</v>
      </c>
      <c r="I138" s="1003">
        <v>23532</v>
      </c>
      <c r="J138" s="1003">
        <v>5150</v>
      </c>
      <c r="K138" s="1003">
        <v>3083</v>
      </c>
      <c r="L138" s="1005">
        <v>5760</v>
      </c>
      <c r="M138" s="1006">
        <v>95772</v>
      </c>
      <c r="N138" s="1003">
        <v>27098</v>
      </c>
      <c r="O138" s="1005">
        <v>55550</v>
      </c>
      <c r="P138" s="1007">
        <v>1818468</v>
      </c>
    </row>
    <row r="139" spans="1:23" s="349" customFormat="1" ht="14.6" thickBot="1" x14ac:dyDescent="0.4">
      <c r="A139" s="766"/>
      <c r="B139" s="1077" t="s">
        <v>155</v>
      </c>
      <c r="C139" s="996">
        <v>163890</v>
      </c>
      <c r="D139" s="997">
        <v>37162</v>
      </c>
      <c r="E139" s="998">
        <v>4113</v>
      </c>
      <c r="F139" s="1078">
        <v>1079373</v>
      </c>
      <c r="G139" s="997">
        <v>308578</v>
      </c>
      <c r="H139" s="997">
        <v>42453</v>
      </c>
      <c r="I139" s="997">
        <v>22913</v>
      </c>
      <c r="J139" s="997">
        <v>3696</v>
      </c>
      <c r="K139" s="997">
        <v>2806</v>
      </c>
      <c r="L139" s="1079">
        <v>4456</v>
      </c>
      <c r="M139" s="996">
        <v>92470</v>
      </c>
      <c r="N139" s="997">
        <v>34286</v>
      </c>
      <c r="O139" s="998">
        <v>49788.25</v>
      </c>
      <c r="P139" s="1080">
        <v>1845984.25</v>
      </c>
    </row>
    <row r="140" spans="1:23" ht="14.15" x14ac:dyDescent="0.35">
      <c r="A140" s="357"/>
      <c r="B140" s="623" t="s">
        <v>107</v>
      </c>
      <c r="C140" s="752">
        <v>169116</v>
      </c>
      <c r="D140" s="359">
        <v>38517</v>
      </c>
      <c r="E140" s="358">
        <v>4915</v>
      </c>
      <c r="F140" s="619">
        <v>1076634</v>
      </c>
      <c r="G140" s="359">
        <v>316448</v>
      </c>
      <c r="H140" s="359">
        <v>41913</v>
      </c>
      <c r="I140" s="359">
        <v>22627</v>
      </c>
      <c r="J140" s="359">
        <v>2380</v>
      </c>
      <c r="K140" s="359">
        <v>2720</v>
      </c>
      <c r="L140" s="751">
        <v>3286</v>
      </c>
      <c r="M140" s="752">
        <v>91314</v>
      </c>
      <c r="N140" s="359">
        <v>37697</v>
      </c>
      <c r="O140" s="358">
        <v>47634</v>
      </c>
      <c r="P140" s="754">
        <v>1855201</v>
      </c>
    </row>
    <row r="141" spans="1:23" ht="14.15" x14ac:dyDescent="0.35">
      <c r="A141" s="123"/>
      <c r="B141" s="624" t="s">
        <v>106</v>
      </c>
      <c r="C141" s="356">
        <v>159675</v>
      </c>
      <c r="D141" s="351">
        <v>35320</v>
      </c>
      <c r="E141" s="352">
        <v>3213</v>
      </c>
      <c r="F141" s="620">
        <v>1072013</v>
      </c>
      <c r="G141" s="351">
        <v>315337</v>
      </c>
      <c r="H141" s="351">
        <v>42587</v>
      </c>
      <c r="I141" s="351">
        <v>21206</v>
      </c>
      <c r="J141" s="351">
        <v>3690</v>
      </c>
      <c r="K141" s="351">
        <v>3619</v>
      </c>
      <c r="L141" s="668">
        <v>1973</v>
      </c>
      <c r="M141" s="356">
        <v>104826</v>
      </c>
      <c r="N141" s="351">
        <v>40908</v>
      </c>
      <c r="O141" s="352">
        <v>51569</v>
      </c>
      <c r="P141" s="753">
        <v>1855936</v>
      </c>
      <c r="W141" t="s">
        <v>108</v>
      </c>
    </row>
    <row r="142" spans="1:23" ht="14.6" thickBot="1" x14ac:dyDescent="0.4">
      <c r="A142" s="124"/>
      <c r="B142" s="625" t="s">
        <v>38</v>
      </c>
      <c r="C142" s="524">
        <v>172505</v>
      </c>
      <c r="D142" s="353">
        <v>23312</v>
      </c>
      <c r="E142" s="354">
        <v>2470</v>
      </c>
      <c r="F142" s="621">
        <v>1088747</v>
      </c>
      <c r="G142" s="353">
        <v>323494</v>
      </c>
      <c r="H142" s="353">
        <v>41430</v>
      </c>
      <c r="I142" s="353">
        <v>20835</v>
      </c>
      <c r="J142" s="353">
        <v>2953</v>
      </c>
      <c r="K142" s="353">
        <v>1005</v>
      </c>
      <c r="L142" s="749" t="s">
        <v>126</v>
      </c>
      <c r="M142" s="524">
        <v>97343</v>
      </c>
      <c r="N142" s="353">
        <v>43530</v>
      </c>
      <c r="O142" s="354">
        <v>43615</v>
      </c>
      <c r="P142" s="755">
        <v>1861239</v>
      </c>
    </row>
    <row r="143" spans="1:23" x14ac:dyDescent="0.3">
      <c r="A143" s="1" t="s">
        <v>41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23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</sheetData>
  <mergeCells count="12">
    <mergeCell ref="C10:E10"/>
    <mergeCell ref="M10:O10"/>
    <mergeCell ref="C40:E40"/>
    <mergeCell ref="M40:O40"/>
    <mergeCell ref="F10:L10"/>
    <mergeCell ref="F40:L40"/>
    <mergeCell ref="C76:E76"/>
    <mergeCell ref="M76:O76"/>
    <mergeCell ref="C116:E116"/>
    <mergeCell ref="M116:O116"/>
    <mergeCell ref="F76:L76"/>
    <mergeCell ref="F116:L116"/>
  </mergeCells>
  <pageMargins left="0.7" right="0.7" top="0.75" bottom="0.75" header="0.3" footer="0.3"/>
  <pageSetup paperSize="9" fitToHeight="0" orientation="landscape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0">
    <tabColor rgb="FFFF0000"/>
  </sheetPr>
  <dimension ref="A1:Z35"/>
  <sheetViews>
    <sheetView showGridLines="0" zoomScaleNormal="100" workbookViewId="0">
      <selection activeCell="V19" sqref="V19"/>
    </sheetView>
  </sheetViews>
  <sheetFormatPr baseColWidth="10" defaultColWidth="11.4609375" defaultRowHeight="11.6" x14ac:dyDescent="0.3"/>
  <cols>
    <col min="1" max="1" width="4.84375" style="5" customWidth="1"/>
    <col min="2" max="2" width="22" style="2" bestFit="1" customWidth="1"/>
    <col min="3" max="3" width="12.69140625" style="2" customWidth="1"/>
    <col min="4" max="4" width="16.53515625" style="2" customWidth="1"/>
    <col min="5" max="9" width="14.69140625" style="2" customWidth="1"/>
    <col min="10" max="10" width="11.4609375" style="2" customWidth="1"/>
    <col min="11" max="11" width="4.84375" style="5" customWidth="1"/>
    <col min="12" max="12" width="22" style="2" bestFit="1" customWidth="1"/>
    <col min="13" max="13" width="18.53515625" style="2" hidden="1" customWidth="1"/>
    <col min="14" max="14" width="13.07421875" style="2" hidden="1" customWidth="1"/>
    <col min="15" max="15" width="18.53515625" style="2" hidden="1" customWidth="1"/>
    <col min="16" max="16" width="13.07421875" style="2" hidden="1" customWidth="1"/>
    <col min="17" max="17" width="16.69140625" style="2" hidden="1" customWidth="1"/>
    <col min="18" max="18" width="13.3046875" style="2" hidden="1" customWidth="1"/>
    <col min="19" max="19" width="16.69140625" style="2" customWidth="1"/>
    <col min="20" max="20" width="13.3046875" style="2" customWidth="1"/>
    <col min="21" max="21" width="11.4609375" style="2" customWidth="1"/>
    <col min="22" max="16384" width="11.4609375" style="2"/>
  </cols>
  <sheetData>
    <row r="1" spans="1:26" x14ac:dyDescent="0.3">
      <c r="A1" s="107" t="s">
        <v>135</v>
      </c>
      <c r="B1" s="108"/>
    </row>
    <row r="2" spans="1:26" x14ac:dyDescent="0.3">
      <c r="A2" s="1" t="s">
        <v>0</v>
      </c>
      <c r="K2" s="1"/>
    </row>
    <row r="4" spans="1:26" x14ac:dyDescent="0.3">
      <c r="A4" s="1" t="str">
        <f>A7</f>
        <v>Tabell 3-4 - A - Egenbetaling for heldøgnsplasser i eldreomsorgsinstitusjoner som bydelen disponerer</v>
      </c>
      <c r="K4" s="1"/>
    </row>
    <row r="5" spans="1:26" x14ac:dyDescent="0.3">
      <c r="A5" s="1" t="str">
        <f>K7</f>
        <v>Tabell 3-4 - B1 - HMS i pleie- og omsorgssektoren - internkontroll i helse- og sosialtjenesten</v>
      </c>
    </row>
    <row r="7" spans="1:26" s="84" customFormat="1" ht="12" thickBot="1" x14ac:dyDescent="0.35">
      <c r="A7" s="48" t="s">
        <v>170</v>
      </c>
      <c r="K7" s="48" t="s">
        <v>171</v>
      </c>
    </row>
    <row r="8" spans="1:26" s="84" customFormat="1" ht="12" thickBot="1" x14ac:dyDescent="0.35">
      <c r="A8" s="49"/>
      <c r="B8" s="10"/>
      <c r="C8" s="1673" t="s">
        <v>172</v>
      </c>
      <c r="D8" s="1673"/>
      <c r="E8" s="1673"/>
      <c r="F8" s="1673" t="s">
        <v>173</v>
      </c>
      <c r="G8" s="1673"/>
      <c r="H8" s="1673"/>
      <c r="I8" s="1673"/>
      <c r="K8" s="49"/>
      <c r="L8" s="10"/>
      <c r="M8" s="1673" t="s">
        <v>174</v>
      </c>
      <c r="N8" s="1673"/>
      <c r="O8" s="1673" t="s">
        <v>175</v>
      </c>
      <c r="P8" s="1673"/>
      <c r="Q8" s="1673" t="s">
        <v>176</v>
      </c>
      <c r="R8" s="1673"/>
      <c r="S8" s="1673" t="s">
        <v>177</v>
      </c>
      <c r="T8" s="1673"/>
    </row>
    <row r="9" spans="1:26" s="84" customFormat="1" ht="58.3" thickBot="1" x14ac:dyDescent="0.35">
      <c r="A9" s="16" t="s">
        <v>39</v>
      </c>
      <c r="B9" s="50" t="s">
        <v>3</v>
      </c>
      <c r="C9" s="34" t="s">
        <v>178</v>
      </c>
      <c r="D9" s="35" t="s">
        <v>179</v>
      </c>
      <c r="E9" s="33" t="s">
        <v>180</v>
      </c>
      <c r="F9" s="12" t="s">
        <v>181</v>
      </c>
      <c r="G9" s="33" t="s">
        <v>182</v>
      </c>
      <c r="H9" s="33" t="s">
        <v>183</v>
      </c>
      <c r="I9" s="33" t="s">
        <v>184</v>
      </c>
      <c r="K9" s="16" t="s">
        <v>39</v>
      </c>
      <c r="L9" s="50" t="s">
        <v>3</v>
      </c>
      <c r="M9" s="16" t="s">
        <v>185</v>
      </c>
      <c r="N9" s="15" t="s">
        <v>186</v>
      </c>
      <c r="O9" s="16" t="s">
        <v>185</v>
      </c>
      <c r="P9" s="15" t="s">
        <v>186</v>
      </c>
      <c r="Q9" s="16" t="s">
        <v>185</v>
      </c>
      <c r="R9" s="15" t="s">
        <v>186</v>
      </c>
      <c r="S9" s="34" t="s">
        <v>185</v>
      </c>
      <c r="T9" s="33" t="s">
        <v>186</v>
      </c>
    </row>
    <row r="10" spans="1:26" ht="12.9" x14ac:dyDescent="0.35">
      <c r="A10" s="25">
        <v>1</v>
      </c>
      <c r="B10" s="26" t="s">
        <v>14</v>
      </c>
      <c r="C10" s="1457">
        <v>26344</v>
      </c>
      <c r="D10" s="1458">
        <v>6257</v>
      </c>
      <c r="E10" s="1459">
        <v>183</v>
      </c>
      <c r="F10" s="127">
        <f t="shared" ref="F10:F25" si="0">IF(C10=0,0,C10*1000/E10)</f>
        <v>143956.28415300546</v>
      </c>
      <c r="G10" s="128">
        <f t="shared" ref="G10:G25" si="1">IF(D10=0,0,D10*1000/E10)</f>
        <v>34191.256830601094</v>
      </c>
      <c r="H10" s="830">
        <f t="shared" ref="H10:H25" si="2">IF((C10+D10)=0,0,(C10+D10)*1000/E10)</f>
        <v>178147.54098360657</v>
      </c>
      <c r="I10" s="833">
        <f t="shared" ref="I10:I25" si="3">(H10-$H$25)*100/$H$25</f>
        <v>-8.938984967292555</v>
      </c>
      <c r="K10" s="25">
        <v>1</v>
      </c>
      <c r="L10" s="26" t="s">
        <v>14</v>
      </c>
      <c r="M10" s="129" t="s">
        <v>187</v>
      </c>
      <c r="N10" s="130" t="s">
        <v>188</v>
      </c>
      <c r="O10" s="131" t="s">
        <v>187</v>
      </c>
      <c r="P10" s="132" t="s">
        <v>189</v>
      </c>
      <c r="Q10" s="131" t="s">
        <v>160</v>
      </c>
      <c r="R10" s="133" t="s">
        <v>161</v>
      </c>
      <c r="S10" s="1469" t="s">
        <v>187</v>
      </c>
      <c r="T10" s="658" t="s">
        <v>556</v>
      </c>
      <c r="Z10" s="2" t="s">
        <v>108</v>
      </c>
    </row>
    <row r="11" spans="1:26" ht="12.9" x14ac:dyDescent="0.35">
      <c r="A11" s="23">
        <v>2</v>
      </c>
      <c r="B11" s="24" t="s">
        <v>15</v>
      </c>
      <c r="C11" s="1460">
        <v>27851</v>
      </c>
      <c r="D11" s="43">
        <v>4825</v>
      </c>
      <c r="E11" s="1461">
        <v>218</v>
      </c>
      <c r="F11" s="134">
        <f t="shared" si="0"/>
        <v>127756.88073394496</v>
      </c>
      <c r="G11" s="43">
        <f t="shared" si="1"/>
        <v>22133.027522935779</v>
      </c>
      <c r="H11" s="831">
        <f t="shared" si="2"/>
        <v>149889.90825688074</v>
      </c>
      <c r="I11" s="834">
        <f t="shared" si="3"/>
        <v>-23.383016607077547</v>
      </c>
      <c r="K11" s="23">
        <v>2</v>
      </c>
      <c r="L11" s="24" t="s">
        <v>15</v>
      </c>
      <c r="M11" s="135" t="s">
        <v>190</v>
      </c>
      <c r="N11" s="136" t="s">
        <v>191</v>
      </c>
      <c r="O11" s="135" t="s">
        <v>190</v>
      </c>
      <c r="P11" s="137" t="s">
        <v>192</v>
      </c>
      <c r="Q11" s="135">
        <v>0</v>
      </c>
      <c r="R11" s="138">
        <v>31</v>
      </c>
      <c r="S11" s="1470" t="s">
        <v>187</v>
      </c>
      <c r="T11" s="659" t="s">
        <v>557</v>
      </c>
    </row>
    <row r="12" spans="1:26" ht="12.9" x14ac:dyDescent="0.35">
      <c r="A12" s="23">
        <v>3</v>
      </c>
      <c r="B12" s="24" t="s">
        <v>16</v>
      </c>
      <c r="C12" s="1460">
        <v>29127</v>
      </c>
      <c r="D12" s="43">
        <v>7255</v>
      </c>
      <c r="E12" s="1461">
        <v>201</v>
      </c>
      <c r="F12" s="134">
        <f t="shared" si="0"/>
        <v>144910.44776119402</v>
      </c>
      <c r="G12" s="43">
        <f t="shared" si="1"/>
        <v>36094.527363184083</v>
      </c>
      <c r="H12" s="831">
        <f t="shared" si="2"/>
        <v>181004.97512437811</v>
      </c>
      <c r="I12" s="834">
        <f t="shared" si="3"/>
        <v>-7.4783930791804822</v>
      </c>
      <c r="K12" s="23">
        <v>3</v>
      </c>
      <c r="L12" s="24" t="s">
        <v>16</v>
      </c>
      <c r="M12" s="135" t="s">
        <v>187</v>
      </c>
      <c r="N12" s="136" t="s">
        <v>193</v>
      </c>
      <c r="O12" s="135" t="s">
        <v>187</v>
      </c>
      <c r="P12" s="137" t="s">
        <v>193</v>
      </c>
      <c r="Q12" s="135">
        <v>8</v>
      </c>
      <c r="R12" s="138">
        <v>12</v>
      </c>
      <c r="S12" s="1470" t="s">
        <v>187</v>
      </c>
      <c r="T12" s="659" t="s">
        <v>558</v>
      </c>
      <c r="W12" s="2" t="s">
        <v>108</v>
      </c>
    </row>
    <row r="13" spans="1:26" ht="12.9" x14ac:dyDescent="0.35">
      <c r="A13" s="23">
        <v>4</v>
      </c>
      <c r="B13" s="24" t="s">
        <v>17</v>
      </c>
      <c r="C13" s="1460">
        <v>18878</v>
      </c>
      <c r="D13" s="43">
        <v>4618</v>
      </c>
      <c r="E13" s="1461">
        <v>145</v>
      </c>
      <c r="F13" s="134">
        <f t="shared" si="0"/>
        <v>130193.10344827586</v>
      </c>
      <c r="G13" s="43">
        <f t="shared" si="1"/>
        <v>31848.275862068964</v>
      </c>
      <c r="H13" s="831">
        <f t="shared" si="2"/>
        <v>162041.37931034484</v>
      </c>
      <c r="I13" s="834">
        <f t="shared" si="3"/>
        <v>-17.171730825867527</v>
      </c>
      <c r="K13" s="23">
        <v>4</v>
      </c>
      <c r="L13" s="24" t="s">
        <v>17</v>
      </c>
      <c r="M13" s="135" t="s">
        <v>194</v>
      </c>
      <c r="N13" s="136" t="s">
        <v>195</v>
      </c>
      <c r="O13" s="135" t="s">
        <v>187</v>
      </c>
      <c r="P13" s="137" t="s">
        <v>195</v>
      </c>
      <c r="Q13" s="135">
        <v>2</v>
      </c>
      <c r="R13" s="138">
        <v>15</v>
      </c>
      <c r="S13" s="1470" t="s">
        <v>187</v>
      </c>
      <c r="T13" s="659" t="s">
        <v>556</v>
      </c>
    </row>
    <row r="14" spans="1:26" ht="12.9" x14ac:dyDescent="0.35">
      <c r="A14" s="23">
        <v>5</v>
      </c>
      <c r="B14" s="24" t="s">
        <v>18</v>
      </c>
      <c r="C14" s="1460">
        <v>81922</v>
      </c>
      <c r="D14" s="43">
        <v>7044</v>
      </c>
      <c r="E14" s="1461">
        <v>359</v>
      </c>
      <c r="F14" s="134">
        <f t="shared" si="0"/>
        <v>228194.9860724234</v>
      </c>
      <c r="G14" s="43">
        <f t="shared" si="1"/>
        <v>19621.169916434541</v>
      </c>
      <c r="H14" s="831">
        <f t="shared" si="2"/>
        <v>247816.15598885794</v>
      </c>
      <c r="I14" s="834">
        <f t="shared" si="3"/>
        <v>26.672479346351253</v>
      </c>
      <c r="K14" s="23">
        <v>5</v>
      </c>
      <c r="L14" s="24" t="s">
        <v>18</v>
      </c>
      <c r="M14" s="135" t="s">
        <v>187</v>
      </c>
      <c r="N14" s="136" t="s">
        <v>196</v>
      </c>
      <c r="O14" s="135" t="s">
        <v>187</v>
      </c>
      <c r="P14" s="137" t="s">
        <v>197</v>
      </c>
      <c r="Q14" s="135">
        <v>0</v>
      </c>
      <c r="R14" s="138">
        <v>2</v>
      </c>
      <c r="S14" s="1470" t="s">
        <v>187</v>
      </c>
      <c r="T14" s="659" t="s">
        <v>559</v>
      </c>
    </row>
    <row r="15" spans="1:26" ht="12.9" x14ac:dyDescent="0.35">
      <c r="A15" s="23">
        <v>6</v>
      </c>
      <c r="B15" s="24" t="s">
        <v>19</v>
      </c>
      <c r="C15" s="1460">
        <v>44551</v>
      </c>
      <c r="D15" s="43">
        <v>14068</v>
      </c>
      <c r="E15" s="1461">
        <v>284</v>
      </c>
      <c r="F15" s="134">
        <f t="shared" si="0"/>
        <v>156869.71830985916</v>
      </c>
      <c r="G15" s="43">
        <f t="shared" si="1"/>
        <v>49535.211267605635</v>
      </c>
      <c r="H15" s="831">
        <f t="shared" si="2"/>
        <v>206404.92957746479</v>
      </c>
      <c r="I15" s="834">
        <f t="shared" si="3"/>
        <v>5.5049218827445436</v>
      </c>
      <c r="K15" s="23">
        <v>6</v>
      </c>
      <c r="L15" s="24" t="s">
        <v>19</v>
      </c>
      <c r="M15" s="135" t="s">
        <v>198</v>
      </c>
      <c r="N15" s="136" t="s">
        <v>199</v>
      </c>
      <c r="O15" s="135" t="s">
        <v>198</v>
      </c>
      <c r="P15" s="137" t="s">
        <v>200</v>
      </c>
      <c r="Q15" s="135">
        <v>0</v>
      </c>
      <c r="R15" s="138">
        <v>18</v>
      </c>
      <c r="S15" s="1470" t="s">
        <v>187</v>
      </c>
      <c r="T15" s="659" t="s">
        <v>558</v>
      </c>
    </row>
    <row r="16" spans="1:26" ht="12.9" x14ac:dyDescent="0.35">
      <c r="A16" s="23">
        <v>7</v>
      </c>
      <c r="B16" s="24" t="s">
        <v>20</v>
      </c>
      <c r="C16" s="1460">
        <v>53467</v>
      </c>
      <c r="D16" s="43">
        <v>19173</v>
      </c>
      <c r="E16" s="1461">
        <v>310</v>
      </c>
      <c r="F16" s="134">
        <f t="shared" si="0"/>
        <v>172474.19354838709</v>
      </c>
      <c r="G16" s="43">
        <f t="shared" si="1"/>
        <v>61848.387096774197</v>
      </c>
      <c r="H16" s="831">
        <f t="shared" si="2"/>
        <v>234322.5806451613</v>
      </c>
      <c r="I16" s="834">
        <f t="shared" si="3"/>
        <v>19.775170180964565</v>
      </c>
      <c r="K16" s="23">
        <v>7</v>
      </c>
      <c r="L16" s="24" t="s">
        <v>20</v>
      </c>
      <c r="M16" s="135" t="s">
        <v>190</v>
      </c>
      <c r="N16" s="136" t="s">
        <v>201</v>
      </c>
      <c r="O16" s="135" t="s">
        <v>190</v>
      </c>
      <c r="P16" s="137" t="s">
        <v>201</v>
      </c>
      <c r="Q16" s="135">
        <v>0</v>
      </c>
      <c r="R16" s="138">
        <v>5</v>
      </c>
      <c r="S16" s="1470" t="s">
        <v>190</v>
      </c>
      <c r="T16" s="659" t="s">
        <v>558</v>
      </c>
    </row>
    <row r="17" spans="1:20" ht="12.9" x14ac:dyDescent="0.35">
      <c r="A17" s="23">
        <v>8</v>
      </c>
      <c r="B17" s="24" t="s">
        <v>21</v>
      </c>
      <c r="C17" s="1460">
        <v>55069.883999999998</v>
      </c>
      <c r="D17" s="43">
        <v>17249.060000000001</v>
      </c>
      <c r="E17" s="1461">
        <v>327</v>
      </c>
      <c r="F17" s="134">
        <f t="shared" si="0"/>
        <v>168409.43119266056</v>
      </c>
      <c r="G17" s="43">
        <f t="shared" si="1"/>
        <v>52749.418960244649</v>
      </c>
      <c r="H17" s="831">
        <f t="shared" si="2"/>
        <v>221158.85015290519</v>
      </c>
      <c r="I17" s="834">
        <f t="shared" si="3"/>
        <v>13.046462876763547</v>
      </c>
      <c r="K17" s="23">
        <v>8</v>
      </c>
      <c r="L17" s="24" t="s">
        <v>21</v>
      </c>
      <c r="M17" s="135" t="s">
        <v>187</v>
      </c>
      <c r="N17" s="136" t="s">
        <v>199</v>
      </c>
      <c r="O17" s="135" t="s">
        <v>190</v>
      </c>
      <c r="P17" s="137" t="s">
        <v>202</v>
      </c>
      <c r="Q17" s="135">
        <v>13</v>
      </c>
      <c r="R17" s="138">
        <v>41</v>
      </c>
      <c r="S17" s="1470" t="s">
        <v>187</v>
      </c>
      <c r="T17" s="659" t="s">
        <v>560</v>
      </c>
    </row>
    <row r="18" spans="1:20" ht="12.9" x14ac:dyDescent="0.35">
      <c r="A18" s="23">
        <v>9</v>
      </c>
      <c r="B18" s="24" t="s">
        <v>22</v>
      </c>
      <c r="C18" s="1460">
        <v>27352</v>
      </c>
      <c r="D18" s="43">
        <v>8053</v>
      </c>
      <c r="E18" s="1461">
        <v>188</v>
      </c>
      <c r="F18" s="134">
        <f t="shared" si="0"/>
        <v>145489.36170212767</v>
      </c>
      <c r="G18" s="43">
        <f t="shared" si="1"/>
        <v>42835.106382978724</v>
      </c>
      <c r="H18" s="831">
        <f t="shared" si="2"/>
        <v>188324.46808510637</v>
      </c>
      <c r="I18" s="834">
        <f t="shared" si="3"/>
        <v>-3.7369972965128588</v>
      </c>
      <c r="K18" s="23">
        <v>9</v>
      </c>
      <c r="L18" s="24" t="s">
        <v>22</v>
      </c>
      <c r="M18" s="135" t="s">
        <v>187</v>
      </c>
      <c r="N18" s="136" t="s">
        <v>193</v>
      </c>
      <c r="O18" s="135" t="s">
        <v>194</v>
      </c>
      <c r="P18" s="137" t="s">
        <v>203</v>
      </c>
      <c r="Q18" s="135">
        <v>2</v>
      </c>
      <c r="R18" s="138">
        <v>21</v>
      </c>
      <c r="S18" s="1470" t="s">
        <v>187</v>
      </c>
      <c r="T18" s="659" t="s">
        <v>560</v>
      </c>
    </row>
    <row r="19" spans="1:20" ht="12.9" x14ac:dyDescent="0.35">
      <c r="A19" s="23">
        <v>10</v>
      </c>
      <c r="B19" s="24" t="s">
        <v>23</v>
      </c>
      <c r="C19" s="1460">
        <v>28981</v>
      </c>
      <c r="D19" s="43">
        <v>6082</v>
      </c>
      <c r="E19" s="1461">
        <v>170</v>
      </c>
      <c r="F19" s="134">
        <f t="shared" si="0"/>
        <v>170476.4705882353</v>
      </c>
      <c r="G19" s="43">
        <f t="shared" si="1"/>
        <v>35776.470588235294</v>
      </c>
      <c r="H19" s="831">
        <f t="shared" si="2"/>
        <v>206252.9411764706</v>
      </c>
      <c r="I19" s="834">
        <f t="shared" si="3"/>
        <v>5.4272322441937515</v>
      </c>
      <c r="K19" s="23">
        <v>10</v>
      </c>
      <c r="L19" s="24" t="s">
        <v>23</v>
      </c>
      <c r="M19" s="135" t="s">
        <v>187</v>
      </c>
      <c r="N19" s="136" t="s">
        <v>204</v>
      </c>
      <c r="O19" s="135" t="s">
        <v>187</v>
      </c>
      <c r="P19" s="137" t="s">
        <v>193</v>
      </c>
      <c r="Q19" s="135">
        <v>2</v>
      </c>
      <c r="R19" s="138">
        <v>8</v>
      </c>
      <c r="S19" s="1470" t="s">
        <v>187</v>
      </c>
      <c r="T19" s="659" t="s">
        <v>471</v>
      </c>
    </row>
    <row r="20" spans="1:20" ht="12.9" x14ac:dyDescent="0.35">
      <c r="A20" s="23">
        <v>11</v>
      </c>
      <c r="B20" s="24" t="s">
        <v>24</v>
      </c>
      <c r="C20" s="1460">
        <v>32232</v>
      </c>
      <c r="D20" s="43">
        <v>6557</v>
      </c>
      <c r="E20" s="1461">
        <v>194</v>
      </c>
      <c r="F20" s="134">
        <f t="shared" si="0"/>
        <v>166144.32989690721</v>
      </c>
      <c r="G20" s="43">
        <f t="shared" si="1"/>
        <v>33798.969072164946</v>
      </c>
      <c r="H20" s="831">
        <f t="shared" si="2"/>
        <v>199943.29896907217</v>
      </c>
      <c r="I20" s="834">
        <f t="shared" si="3"/>
        <v>2.2020267727817946</v>
      </c>
      <c r="K20" s="23">
        <v>11</v>
      </c>
      <c r="L20" s="24" t="s">
        <v>24</v>
      </c>
      <c r="M20" s="135" t="s">
        <v>187</v>
      </c>
      <c r="N20" s="136" t="s">
        <v>205</v>
      </c>
      <c r="O20" s="135" t="s">
        <v>187</v>
      </c>
      <c r="P20" s="137" t="s">
        <v>206</v>
      </c>
      <c r="Q20" s="135">
        <v>0</v>
      </c>
      <c r="R20" s="138">
        <v>7</v>
      </c>
      <c r="S20" s="1470" t="s">
        <v>187</v>
      </c>
      <c r="T20" s="659" t="s">
        <v>560</v>
      </c>
    </row>
    <row r="21" spans="1:20" ht="12.9" x14ac:dyDescent="0.35">
      <c r="A21" s="23">
        <v>12</v>
      </c>
      <c r="B21" s="24" t="s">
        <v>25</v>
      </c>
      <c r="C21" s="1460">
        <v>54239</v>
      </c>
      <c r="D21" s="43">
        <v>15514</v>
      </c>
      <c r="E21" s="1461">
        <v>471</v>
      </c>
      <c r="F21" s="134">
        <f t="shared" si="0"/>
        <v>115157.11252653928</v>
      </c>
      <c r="G21" s="43">
        <f t="shared" si="1"/>
        <v>32938.428874734607</v>
      </c>
      <c r="H21" s="831">
        <f t="shared" si="2"/>
        <v>148095.54140127389</v>
      </c>
      <c r="I21" s="834">
        <f t="shared" si="3"/>
        <v>-24.300216284998683</v>
      </c>
      <c r="K21" s="23">
        <v>12</v>
      </c>
      <c r="L21" s="24" t="s">
        <v>25</v>
      </c>
      <c r="M21" s="135" t="s">
        <v>190</v>
      </c>
      <c r="N21" s="136" t="s">
        <v>199</v>
      </c>
      <c r="O21" s="135" t="s">
        <v>190</v>
      </c>
      <c r="P21" s="137" t="s">
        <v>199</v>
      </c>
      <c r="Q21" s="135">
        <v>0</v>
      </c>
      <c r="R21" s="138">
        <v>0</v>
      </c>
      <c r="S21" s="1470" t="s">
        <v>187</v>
      </c>
      <c r="T21" s="659" t="s">
        <v>558</v>
      </c>
    </row>
    <row r="22" spans="1:20" ht="12.9" x14ac:dyDescent="0.35">
      <c r="A22" s="23">
        <v>13</v>
      </c>
      <c r="B22" s="24" t="s">
        <v>26</v>
      </c>
      <c r="C22" s="1460">
        <v>78073</v>
      </c>
      <c r="D22" s="43">
        <v>20332</v>
      </c>
      <c r="E22" s="1461">
        <v>514</v>
      </c>
      <c r="F22" s="134">
        <f t="shared" si="0"/>
        <v>151892.99610894942</v>
      </c>
      <c r="G22" s="43">
        <f t="shared" si="1"/>
        <v>39556.420233463032</v>
      </c>
      <c r="H22" s="831">
        <f t="shared" si="2"/>
        <v>191449.41634241244</v>
      </c>
      <c r="I22" s="834">
        <f t="shared" si="3"/>
        <v>-2.1396642170673985</v>
      </c>
      <c r="K22" s="23">
        <v>13</v>
      </c>
      <c r="L22" s="24" t="s">
        <v>26</v>
      </c>
      <c r="M22" s="135" t="s">
        <v>187</v>
      </c>
      <c r="N22" s="136" t="s">
        <v>207</v>
      </c>
      <c r="O22" s="135" t="s">
        <v>194</v>
      </c>
      <c r="P22" s="137" t="s">
        <v>208</v>
      </c>
      <c r="Q22" s="135">
        <v>0</v>
      </c>
      <c r="R22" s="138">
        <v>20</v>
      </c>
      <c r="S22" s="1470" t="s">
        <v>187</v>
      </c>
      <c r="T22" s="659" t="s">
        <v>557</v>
      </c>
    </row>
    <row r="23" spans="1:20" ht="12.9" x14ac:dyDescent="0.35">
      <c r="A23" s="23">
        <v>14</v>
      </c>
      <c r="B23" s="24" t="s">
        <v>27</v>
      </c>
      <c r="C23" s="1460">
        <v>80074.392999999996</v>
      </c>
      <c r="D23" s="43">
        <v>23673.45563</v>
      </c>
      <c r="E23" s="1461">
        <v>506.81</v>
      </c>
      <c r="F23" s="134">
        <f t="shared" si="0"/>
        <v>157996.86864900062</v>
      </c>
      <c r="G23" s="43">
        <f t="shared" si="1"/>
        <v>46710.711371125275</v>
      </c>
      <c r="H23" s="831">
        <f t="shared" si="2"/>
        <v>204707.58002012587</v>
      </c>
      <c r="I23" s="834">
        <f t="shared" si="3"/>
        <v>4.6373130866690371</v>
      </c>
      <c r="K23" s="23">
        <v>14</v>
      </c>
      <c r="L23" s="24" t="s">
        <v>27</v>
      </c>
      <c r="M23" s="135" t="s">
        <v>187</v>
      </c>
      <c r="N23" s="136" t="s">
        <v>209</v>
      </c>
      <c r="O23" s="135" t="s">
        <v>187</v>
      </c>
      <c r="P23" s="137" t="s">
        <v>210</v>
      </c>
      <c r="Q23" s="135">
        <v>3</v>
      </c>
      <c r="R23" s="138">
        <v>5</v>
      </c>
      <c r="S23" s="1470" t="s">
        <v>211</v>
      </c>
      <c r="T23" s="659" t="s">
        <v>557</v>
      </c>
    </row>
    <row r="24" spans="1:20" ht="13.3" thickBot="1" x14ac:dyDescent="0.4">
      <c r="A24" s="27">
        <v>15</v>
      </c>
      <c r="B24" s="28" t="s">
        <v>28</v>
      </c>
      <c r="C24" s="1462">
        <v>19881</v>
      </c>
      <c r="D24" s="1463">
        <v>4526</v>
      </c>
      <c r="E24" s="1464">
        <v>137.37</v>
      </c>
      <c r="F24" s="139">
        <f t="shared" si="0"/>
        <v>144725.92269054378</v>
      </c>
      <c r="G24" s="29">
        <f t="shared" si="1"/>
        <v>32947.514013248889</v>
      </c>
      <c r="H24" s="832">
        <f t="shared" si="2"/>
        <v>177673.43670379266</v>
      </c>
      <c r="I24" s="1186">
        <f t="shared" si="3"/>
        <v>-9.1813257636506602</v>
      </c>
      <c r="K24" s="27">
        <v>15</v>
      </c>
      <c r="L24" s="28" t="s">
        <v>28</v>
      </c>
      <c r="M24" s="140" t="s">
        <v>211</v>
      </c>
      <c r="N24" s="141" t="s">
        <v>199</v>
      </c>
      <c r="O24" s="140" t="s">
        <v>187</v>
      </c>
      <c r="P24" s="142" t="s">
        <v>199</v>
      </c>
      <c r="Q24" s="140">
        <v>2</v>
      </c>
      <c r="R24" s="143">
        <v>101</v>
      </c>
      <c r="S24" s="1471" t="s">
        <v>187</v>
      </c>
      <c r="T24" s="660" t="s">
        <v>556</v>
      </c>
    </row>
    <row r="25" spans="1:20" s="30" customFormat="1" ht="12" thickBot="1" x14ac:dyDescent="0.35">
      <c r="A25" s="406"/>
      <c r="B25" s="404" t="s">
        <v>541</v>
      </c>
      <c r="C25" s="785">
        <f>SUM(C10:C24)</f>
        <v>658042.27700000012</v>
      </c>
      <c r="D25" s="785">
        <f>SUM(D10:D24)</f>
        <v>165226.51563000001</v>
      </c>
      <c r="E25" s="785">
        <f>SUM(E10:E24)</f>
        <v>4208.18</v>
      </c>
      <c r="F25" s="1187">
        <f t="shared" si="0"/>
        <v>156372.17918435051</v>
      </c>
      <c r="G25" s="785">
        <f t="shared" si="1"/>
        <v>39263.176867434377</v>
      </c>
      <c r="H25" s="785">
        <f t="shared" si="2"/>
        <v>195635.35605178488</v>
      </c>
      <c r="I25" s="1033">
        <f t="shared" si="3"/>
        <v>0</v>
      </c>
      <c r="K25" s="117"/>
      <c r="L25" s="144" t="s">
        <v>212</v>
      </c>
      <c r="M25" s="145">
        <f>COUNTIF(M10:M24,"ja")</f>
        <v>13</v>
      </c>
      <c r="N25" s="146" t="s">
        <v>213</v>
      </c>
      <c r="O25" s="145">
        <f>COUNTIF(O10:O24,"ja")</f>
        <v>14</v>
      </c>
      <c r="P25" s="146" t="s">
        <v>213</v>
      </c>
      <c r="Q25" s="145">
        <f>COUNTIF(Q10:Q24,"ja")</f>
        <v>0</v>
      </c>
      <c r="R25" s="146" t="s">
        <v>213</v>
      </c>
      <c r="S25" s="529">
        <f>COUNTIF(S10:S24,"ja")</f>
        <v>14</v>
      </c>
      <c r="T25" s="529" t="s">
        <v>213</v>
      </c>
    </row>
    <row r="26" spans="1:20" s="413" customFormat="1" x14ac:dyDescent="0.3">
      <c r="A26" s="416"/>
      <c r="B26" s="407" t="s">
        <v>463</v>
      </c>
      <c r="C26" s="809">
        <v>638148.55700000003</v>
      </c>
      <c r="D26" s="809">
        <v>171906.24357000002</v>
      </c>
      <c r="E26" s="809">
        <v>4251.54</v>
      </c>
      <c r="F26" s="1455">
        <v>150098.21311807015</v>
      </c>
      <c r="G26" s="809">
        <v>40433.876564727143</v>
      </c>
      <c r="H26" s="809">
        <v>190532.08968279732</v>
      </c>
      <c r="I26" s="1148">
        <v>0</v>
      </c>
      <c r="K26" s="791"/>
      <c r="L26" s="792" t="s">
        <v>212</v>
      </c>
      <c r="M26" s="1456">
        <v>13</v>
      </c>
      <c r="N26" s="1456" t="s">
        <v>213</v>
      </c>
      <c r="O26" s="1456">
        <v>14</v>
      </c>
      <c r="P26" s="1456" t="s">
        <v>213</v>
      </c>
      <c r="Q26" s="1456">
        <v>0</v>
      </c>
      <c r="R26" s="1456" t="s">
        <v>213</v>
      </c>
      <c r="S26" s="792">
        <v>15</v>
      </c>
      <c r="T26" s="792" t="s">
        <v>213</v>
      </c>
    </row>
    <row r="27" spans="1:20" s="346" customFormat="1" x14ac:dyDescent="0.3">
      <c r="A27" s="367"/>
      <c r="B27" s="366" t="s">
        <v>415</v>
      </c>
      <c r="C27" s="363">
        <v>636930.61300000001</v>
      </c>
      <c r="D27" s="363">
        <v>170366.78569000002</v>
      </c>
      <c r="E27" s="363">
        <v>4465.666666666667</v>
      </c>
      <c r="F27" s="1185">
        <v>142628.33761289841</v>
      </c>
      <c r="G27" s="363">
        <v>38150.358816899308</v>
      </c>
      <c r="H27" s="363">
        <v>180778.69642979771</v>
      </c>
      <c r="I27" s="806">
        <v>0</v>
      </c>
      <c r="K27" s="57"/>
      <c r="L27" s="58"/>
      <c r="M27" s="147"/>
      <c r="N27" s="147"/>
      <c r="O27" s="147"/>
      <c r="P27" s="147"/>
      <c r="Q27" s="147"/>
      <c r="R27" s="147"/>
      <c r="S27" s="58"/>
      <c r="T27" s="58"/>
    </row>
    <row r="28" spans="1:20" s="346" customFormat="1" x14ac:dyDescent="0.3">
      <c r="A28" s="367"/>
      <c r="B28" s="366" t="s">
        <v>367</v>
      </c>
      <c r="C28" s="363">
        <v>643748</v>
      </c>
      <c r="D28" s="363">
        <v>187600</v>
      </c>
      <c r="E28" s="363">
        <v>4585.6666666666661</v>
      </c>
      <c r="F28" s="1185">
        <v>140382.64156429455</v>
      </c>
      <c r="G28" s="363">
        <v>40910.082140001461</v>
      </c>
      <c r="H28" s="363">
        <v>181292.72370429602</v>
      </c>
      <c r="I28" s="806">
        <v>0</v>
      </c>
      <c r="K28" s="57"/>
      <c r="L28" s="58"/>
      <c r="M28" s="147"/>
      <c r="N28" s="147"/>
      <c r="O28" s="147"/>
      <c r="P28" s="147"/>
      <c r="Q28" s="147"/>
      <c r="R28" s="147"/>
      <c r="S28" s="58"/>
      <c r="T28" s="58"/>
    </row>
    <row r="29" spans="1:20" s="346" customFormat="1" x14ac:dyDescent="0.3">
      <c r="A29" s="367"/>
      <c r="B29" s="366" t="s">
        <v>334</v>
      </c>
      <c r="C29" s="363">
        <v>633251</v>
      </c>
      <c r="D29" s="363">
        <v>193599</v>
      </c>
      <c r="E29" s="363">
        <v>4777</v>
      </c>
      <c r="F29" s="1185">
        <v>132562.48691647477</v>
      </c>
      <c r="G29" s="363">
        <v>40527.318400669879</v>
      </c>
      <c r="H29" s="363">
        <v>173089.80531714464</v>
      </c>
      <c r="I29" s="806">
        <v>0</v>
      </c>
      <c r="K29" s="57"/>
      <c r="L29" s="58"/>
      <c r="M29" s="147"/>
      <c r="N29" s="147"/>
      <c r="O29" s="147"/>
      <c r="P29" s="147"/>
      <c r="Q29" s="147"/>
      <c r="R29" s="147"/>
      <c r="S29" s="58"/>
      <c r="T29" s="58"/>
    </row>
    <row r="30" spans="1:20" s="346" customFormat="1" x14ac:dyDescent="0.3">
      <c r="A30" s="805"/>
      <c r="B30" s="366" t="s">
        <v>300</v>
      </c>
      <c r="C30" s="363">
        <v>600150</v>
      </c>
      <c r="D30" s="363">
        <v>216014</v>
      </c>
      <c r="E30" s="363">
        <v>4766.3366666666661</v>
      </c>
      <c r="F30" s="1185">
        <v>125914.31155024021</v>
      </c>
      <c r="G30" s="363">
        <v>45320.759968697137</v>
      </c>
      <c r="H30" s="363">
        <v>171235.07151893736</v>
      </c>
      <c r="I30" s="806">
        <v>0</v>
      </c>
      <c r="K30" s="57"/>
      <c r="L30" s="58"/>
      <c r="M30" s="147"/>
      <c r="N30" s="147"/>
      <c r="O30" s="147"/>
      <c r="P30" s="147"/>
      <c r="Q30" s="147"/>
      <c r="R30" s="147"/>
      <c r="S30" s="147"/>
      <c r="T30" s="147"/>
    </row>
    <row r="31" spans="1:20" s="346" customFormat="1" ht="12" thickBot="1" x14ac:dyDescent="0.35">
      <c r="A31" s="403"/>
      <c r="B31" s="405" t="s">
        <v>155</v>
      </c>
      <c r="C31" s="364">
        <v>601011</v>
      </c>
      <c r="D31" s="364">
        <v>190520</v>
      </c>
      <c r="E31" s="364">
        <v>4934.2</v>
      </c>
      <c r="F31" s="1188">
        <v>121805.15585099916</v>
      </c>
      <c r="G31" s="364">
        <v>38612.135705889508</v>
      </c>
      <c r="H31" s="364">
        <v>160417.29155688867</v>
      </c>
      <c r="I31" s="808">
        <v>0</v>
      </c>
      <c r="K31" s="57"/>
      <c r="L31" s="58"/>
      <c r="M31" s="147"/>
      <c r="N31" s="147"/>
      <c r="O31" s="147"/>
      <c r="P31" s="147"/>
      <c r="Q31" s="147"/>
      <c r="R31" s="147"/>
      <c r="S31" s="147"/>
      <c r="T31" s="147"/>
    </row>
    <row r="33" spans="4:4" x14ac:dyDescent="0.3">
      <c r="D33" s="1104"/>
    </row>
    <row r="34" spans="4:4" ht="12" thickBot="1" x14ac:dyDescent="0.35">
      <c r="D34" s="1105"/>
    </row>
    <row r="35" spans="4:4" ht="12" thickBot="1" x14ac:dyDescent="0.35">
      <c r="D35" s="1106"/>
    </row>
  </sheetData>
  <mergeCells count="6">
    <mergeCell ref="S8:T8"/>
    <mergeCell ref="C8:E8"/>
    <mergeCell ref="F8:I8"/>
    <mergeCell ref="M8:N8"/>
    <mergeCell ref="O8:P8"/>
    <mergeCell ref="Q8:R8"/>
  </mergeCells>
  <pageMargins left="0.7" right="0.7" top="0.75" bottom="0.75" header="0.3" footer="0.3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3"/>
  <dimension ref="A1:BJ99"/>
  <sheetViews>
    <sheetView showGridLines="0" zoomScale="90" zoomScaleNormal="90" workbookViewId="0">
      <selection activeCell="R3" sqref="R3"/>
    </sheetView>
  </sheetViews>
  <sheetFormatPr baseColWidth="10" defaultColWidth="11.4609375" defaultRowHeight="11.6" x14ac:dyDescent="0.3"/>
  <cols>
    <col min="1" max="1" width="5.53515625" style="5" customWidth="1"/>
    <col min="2" max="2" width="21" style="2" customWidth="1"/>
    <col min="3" max="3" width="6.07421875" style="2" customWidth="1"/>
    <col min="4" max="4" width="7" style="2" customWidth="1"/>
    <col min="5" max="5" width="6.3046875" style="2" customWidth="1"/>
    <col min="6" max="6" width="7.69140625" style="2" customWidth="1"/>
    <col min="7" max="7" width="5.3046875" style="2" customWidth="1"/>
    <col min="8" max="8" width="7.69140625" style="413" customWidth="1"/>
    <col min="9" max="9" width="7.69140625" style="2" customWidth="1"/>
    <col min="10" max="10" width="7" style="2" customWidth="1"/>
    <col min="11" max="11" width="6.3046875" style="2" customWidth="1"/>
    <col min="12" max="13" width="6" style="2" customWidth="1"/>
    <col min="14" max="14" width="6.3046875" style="2" customWidth="1"/>
    <col min="15" max="15" width="6.07421875" style="2" customWidth="1"/>
    <col min="16" max="16" width="8" style="413" customWidth="1"/>
    <col min="17" max="17" width="7.3046875" style="2" customWidth="1"/>
    <col min="18" max="18" width="7.53515625" style="2" customWidth="1"/>
    <col min="19" max="19" width="7.3046875" style="2" customWidth="1"/>
    <col min="20" max="20" width="6.3046875" style="2" customWidth="1"/>
    <col min="21" max="21" width="8.07421875" style="2" customWidth="1"/>
    <col min="22" max="22" width="6.84375" style="2" customWidth="1"/>
    <col min="23" max="23" width="20.53515625" style="2" customWidth="1"/>
    <col min="24" max="24" width="6.4609375" style="2" customWidth="1"/>
    <col min="25" max="25" width="6.4609375" style="413" customWidth="1"/>
    <col min="26" max="26" width="6.53515625" style="2" customWidth="1"/>
    <col min="27" max="27" width="6.53515625" style="413" customWidth="1"/>
    <col min="28" max="28" width="6" style="2" customWidth="1"/>
    <col min="29" max="29" width="8" style="5" customWidth="1"/>
    <col min="30" max="30" width="4.84375" style="2" customWidth="1"/>
    <col min="31" max="31" width="6.84375" style="2" customWidth="1"/>
    <col min="32" max="32" width="7.3046875" style="2" customWidth="1"/>
    <col min="33" max="33" width="6.07421875" style="2" customWidth="1"/>
    <col min="34" max="34" width="7.3046875" style="2" customWidth="1"/>
    <col min="35" max="35" width="7" style="2" customWidth="1"/>
    <col min="36" max="36" width="7" style="413" customWidth="1"/>
    <col min="37" max="37" width="8.07421875" style="2" customWidth="1"/>
    <col min="38" max="38" width="8" style="2" customWidth="1"/>
    <col min="39" max="39" width="19.53515625" style="2" customWidth="1"/>
    <col min="40" max="40" width="6.3046875" style="2" customWidth="1"/>
    <col min="41" max="41" width="14.07421875" style="2" customWidth="1"/>
    <col min="42" max="42" width="5.4609375" style="2" customWidth="1"/>
    <col min="43" max="43" width="6.07421875" style="2" customWidth="1"/>
    <col min="44" max="44" width="6.07421875" style="413" customWidth="1"/>
    <col min="45" max="45" width="6.07421875" style="2" customWidth="1"/>
    <col min="46" max="46" width="7.3046875" style="2" customWidth="1"/>
    <col min="47" max="16384" width="11.4609375" style="2"/>
  </cols>
  <sheetData>
    <row r="1" spans="1:62" x14ac:dyDescent="0.3">
      <c r="A1" s="1" t="s">
        <v>0</v>
      </c>
      <c r="AC1" s="1"/>
    </row>
    <row r="2" spans="1:62" x14ac:dyDescent="0.3">
      <c r="A2" s="1"/>
      <c r="AC2" s="1"/>
    </row>
    <row r="3" spans="1:62" x14ac:dyDescent="0.3">
      <c r="A3" s="1" t="str">
        <f>A7</f>
        <v>Tabell 3 - 5 - A -  Brukere av hjemmetjenester pr. 31.12.   *)**)</v>
      </c>
      <c r="Q3" s="2" t="s">
        <v>108</v>
      </c>
      <c r="AC3" s="1"/>
    </row>
    <row r="4" spans="1:62" x14ac:dyDescent="0.3">
      <c r="A4" s="1">
        <f>AC7</f>
        <v>0</v>
      </c>
      <c r="K4" s="4" t="s">
        <v>47</v>
      </c>
      <c r="L4" s="4"/>
      <c r="R4" s="2" t="s">
        <v>108</v>
      </c>
      <c r="U4" s="2" t="s">
        <v>108</v>
      </c>
      <c r="Y4" s="413" t="s">
        <v>108</v>
      </c>
      <c r="AC4" s="1"/>
    </row>
    <row r="5" spans="1:62" x14ac:dyDescent="0.3">
      <c r="A5" s="1"/>
      <c r="U5" s="2" t="s">
        <v>108</v>
      </c>
      <c r="AC5" s="1"/>
      <c r="AK5" s="2" t="s">
        <v>108</v>
      </c>
    </row>
    <row r="6" spans="1:62" x14ac:dyDescent="0.3">
      <c r="Z6" s="2" t="s">
        <v>108</v>
      </c>
    </row>
    <row r="7" spans="1:62" s="8" customFormat="1" ht="15.75" customHeight="1" thickBot="1" x14ac:dyDescent="0.35">
      <c r="A7" s="469" t="s">
        <v>600</v>
      </c>
      <c r="V7" s="7" t="s">
        <v>601</v>
      </c>
      <c r="AB7" s="413"/>
      <c r="AK7" s="413"/>
      <c r="AL7" s="413"/>
      <c r="AM7" s="413"/>
      <c r="AN7" s="413"/>
      <c r="AO7" s="413"/>
      <c r="AP7" s="413"/>
      <c r="AQ7" s="413"/>
      <c r="AR7" s="413"/>
      <c r="AS7" s="413"/>
      <c r="AT7" s="413"/>
      <c r="AU7" s="413"/>
    </row>
    <row r="8" spans="1:62" s="84" customFormat="1" ht="36" customHeight="1" thickBot="1" x14ac:dyDescent="0.35">
      <c r="A8" s="65"/>
      <c r="B8" s="66"/>
      <c r="C8" s="1676" t="s">
        <v>502</v>
      </c>
      <c r="D8" s="1677"/>
      <c r="E8" s="1677"/>
      <c r="F8" s="1677"/>
      <c r="G8" s="1677"/>
      <c r="H8" s="1678"/>
      <c r="I8" s="1676" t="s">
        <v>48</v>
      </c>
      <c r="J8" s="1677"/>
      <c r="K8" s="1677"/>
      <c r="L8" s="1677"/>
      <c r="M8" s="1677"/>
      <c r="N8" s="1678"/>
      <c r="O8" s="1676" t="s">
        <v>49</v>
      </c>
      <c r="P8" s="1677"/>
      <c r="Q8" s="1677"/>
      <c r="R8" s="1677"/>
      <c r="S8" s="1677"/>
      <c r="T8" s="1679"/>
      <c r="V8" s="9"/>
      <c r="W8" s="10"/>
      <c r="X8" s="1680" t="s">
        <v>50</v>
      </c>
      <c r="Y8" s="1681"/>
      <c r="Z8" s="1681"/>
      <c r="AA8" s="1681"/>
      <c r="AB8" s="1681"/>
      <c r="AC8" s="1682"/>
      <c r="AD8" s="1683" t="s">
        <v>501</v>
      </c>
      <c r="AE8" s="1684"/>
      <c r="AF8" s="1684"/>
      <c r="AG8" s="1684"/>
      <c r="AH8" s="1684"/>
      <c r="AI8" s="1685"/>
      <c r="AJ8" s="1674" t="s">
        <v>299</v>
      </c>
      <c r="AK8" s="413"/>
      <c r="AL8" s="413"/>
      <c r="AM8" s="413"/>
      <c r="AN8" s="413"/>
      <c r="AO8" s="413"/>
      <c r="AP8" s="413"/>
      <c r="AQ8" s="413"/>
      <c r="AR8" s="413"/>
      <c r="AS8" s="413"/>
      <c r="AT8" s="413"/>
      <c r="AU8" s="413"/>
    </row>
    <row r="9" spans="1:62" s="84" customFormat="1" ht="58.2" customHeight="1" thickBot="1" x14ac:dyDescent="0.35">
      <c r="A9" s="75" t="s">
        <v>2</v>
      </c>
      <c r="B9" s="9" t="s">
        <v>3</v>
      </c>
      <c r="C9" s="166" t="s">
        <v>51</v>
      </c>
      <c r="D9" s="669" t="s">
        <v>6</v>
      </c>
      <c r="E9" s="167" t="s">
        <v>12</v>
      </c>
      <c r="F9" s="167" t="s">
        <v>478</v>
      </c>
      <c r="G9" s="167" t="s">
        <v>485</v>
      </c>
      <c r="H9" s="1253" t="s">
        <v>13</v>
      </c>
      <c r="I9" s="166" t="s">
        <v>51</v>
      </c>
      <c r="J9" s="669" t="s">
        <v>6</v>
      </c>
      <c r="K9" s="167" t="s">
        <v>12</v>
      </c>
      <c r="L9" s="167" t="s">
        <v>478</v>
      </c>
      <c r="M9" s="167" t="s">
        <v>485</v>
      </c>
      <c r="N9" s="1253" t="s">
        <v>13</v>
      </c>
      <c r="O9" s="166" t="s">
        <v>51</v>
      </c>
      <c r="P9" s="669" t="s">
        <v>6</v>
      </c>
      <c r="Q9" s="167" t="s">
        <v>12</v>
      </c>
      <c r="R9" s="167" t="s">
        <v>478</v>
      </c>
      <c r="S9" s="167" t="s">
        <v>485</v>
      </c>
      <c r="T9" s="1253" t="s">
        <v>13</v>
      </c>
      <c r="U9" s="84" t="s">
        <v>108</v>
      </c>
      <c r="V9" s="13" t="s">
        <v>2</v>
      </c>
      <c r="W9" s="14" t="s">
        <v>3</v>
      </c>
      <c r="X9" s="166" t="s">
        <v>51</v>
      </c>
      <c r="Y9" s="669" t="s">
        <v>6</v>
      </c>
      <c r="Z9" s="167" t="s">
        <v>12</v>
      </c>
      <c r="AA9" s="167" t="s">
        <v>478</v>
      </c>
      <c r="AB9" s="167" t="s">
        <v>485</v>
      </c>
      <c r="AC9" s="1253" t="s">
        <v>13</v>
      </c>
      <c r="AD9" s="166" t="s">
        <v>51</v>
      </c>
      <c r="AE9" s="669" t="s">
        <v>6</v>
      </c>
      <c r="AF9" s="167" t="s">
        <v>12</v>
      </c>
      <c r="AG9" s="167" t="s">
        <v>478</v>
      </c>
      <c r="AH9" s="167" t="s">
        <v>485</v>
      </c>
      <c r="AI9" s="1253" t="s">
        <v>13</v>
      </c>
      <c r="AJ9" s="1675"/>
      <c r="AK9" s="413"/>
      <c r="AL9" s="413"/>
      <c r="AM9" s="413"/>
      <c r="AN9" s="413"/>
      <c r="AO9" s="413"/>
      <c r="AP9" s="413"/>
      <c r="AQ9" s="413"/>
      <c r="AR9" s="413"/>
      <c r="AS9" s="413"/>
      <c r="AT9" s="413"/>
      <c r="AU9" s="413"/>
    </row>
    <row r="10" spans="1:62" s="413" customFormat="1" ht="12.9" customHeight="1" x14ac:dyDescent="0.35">
      <c r="A10" s="69">
        <v>1</v>
      </c>
      <c r="B10" s="26" t="s">
        <v>14</v>
      </c>
      <c r="C10" s="525">
        <f>2+215</f>
        <v>217</v>
      </c>
      <c r="D10" s="348">
        <v>137</v>
      </c>
      <c r="E10" s="348">
        <v>55</v>
      </c>
      <c r="F10" s="348">
        <v>42</v>
      </c>
      <c r="G10" s="1254">
        <v>8</v>
      </c>
      <c r="H10" s="1054">
        <f>SUM(C10:G10)</f>
        <v>459</v>
      </c>
      <c r="I10" s="525">
        <f>4+61</f>
        <v>65</v>
      </c>
      <c r="J10" s="348">
        <v>43</v>
      </c>
      <c r="K10" s="348">
        <v>69</v>
      </c>
      <c r="L10" s="348">
        <v>53</v>
      </c>
      <c r="M10" s="1254">
        <v>19</v>
      </c>
      <c r="N10" s="1054">
        <f>SUM(I10:M10)</f>
        <v>249</v>
      </c>
      <c r="O10" s="525">
        <v>38</v>
      </c>
      <c r="P10" s="348">
        <v>68</v>
      </c>
      <c r="Q10" s="348">
        <v>82</v>
      </c>
      <c r="R10" s="348">
        <v>63</v>
      </c>
      <c r="S10" s="1254">
        <v>46</v>
      </c>
      <c r="T10" s="1054">
        <f>SUM(O10:S10)</f>
        <v>297</v>
      </c>
      <c r="V10" s="17">
        <v>1</v>
      </c>
      <c r="W10" s="18" t="s">
        <v>14</v>
      </c>
      <c r="X10" s="525">
        <f>C10+I10+O10</f>
        <v>320</v>
      </c>
      <c r="Y10" s="348">
        <f t="shared" ref="Y10:AB10" si="0">D10+J10+P10</f>
        <v>248</v>
      </c>
      <c r="Z10" s="348">
        <f t="shared" si="0"/>
        <v>206</v>
      </c>
      <c r="AA10" s="348">
        <f t="shared" si="0"/>
        <v>158</v>
      </c>
      <c r="AB10" s="1254">
        <f t="shared" si="0"/>
        <v>73</v>
      </c>
      <c r="AC10" s="1054">
        <f>SUM(X10:AB10)</f>
        <v>1005</v>
      </c>
      <c r="AD10" s="525">
        <f>3+40</f>
        <v>43</v>
      </c>
      <c r="AE10" s="348">
        <v>32</v>
      </c>
      <c r="AF10" s="348">
        <v>28</v>
      </c>
      <c r="AG10" s="348">
        <v>30</v>
      </c>
      <c r="AH10" s="1254">
        <v>18</v>
      </c>
      <c r="AI10" s="1263">
        <f>SUM(AD10:AH10)</f>
        <v>151</v>
      </c>
      <c r="AJ10" s="1324">
        <f t="shared" ref="AJ10:AJ24" si="1">AI10/AC10</f>
        <v>0.15024875621890546</v>
      </c>
      <c r="AW10" s="425"/>
      <c r="AX10" s="425"/>
      <c r="AY10" s="425"/>
      <c r="AZ10" s="425"/>
      <c r="BA10" s="425"/>
      <c r="BB10" s="425"/>
      <c r="BC10" s="425"/>
      <c r="BD10" s="425"/>
      <c r="BE10" s="425"/>
      <c r="BF10" s="425"/>
      <c r="BG10" s="425"/>
      <c r="BH10" s="425"/>
      <c r="BI10" s="425"/>
      <c r="BJ10" s="425"/>
    </row>
    <row r="11" spans="1:62" s="413" customFormat="1" ht="12.9" customHeight="1" x14ac:dyDescent="0.35">
      <c r="A11" s="70">
        <v>2</v>
      </c>
      <c r="B11" s="24" t="s">
        <v>15</v>
      </c>
      <c r="C11" s="670">
        <f>1+167</f>
        <v>168</v>
      </c>
      <c r="D11" s="77">
        <v>136</v>
      </c>
      <c r="E11" s="77">
        <v>87</v>
      </c>
      <c r="F11" s="77">
        <v>54</v>
      </c>
      <c r="G11" s="1255">
        <v>8</v>
      </c>
      <c r="H11" s="1256">
        <f t="shared" ref="H11:H24" si="2">SUM(C11:G11)</f>
        <v>453</v>
      </c>
      <c r="I11" s="670">
        <f>2+81</f>
        <v>83</v>
      </c>
      <c r="J11" s="77">
        <v>47</v>
      </c>
      <c r="K11" s="77">
        <v>64</v>
      </c>
      <c r="L11" s="77">
        <v>32</v>
      </c>
      <c r="M11" s="1255">
        <v>15</v>
      </c>
      <c r="N11" s="1256">
        <f t="shared" ref="N11:N24" si="3">SUM(I11:M11)</f>
        <v>241</v>
      </c>
      <c r="O11" s="670">
        <v>42</v>
      </c>
      <c r="P11" s="77">
        <v>83</v>
      </c>
      <c r="Q11" s="77">
        <v>93</v>
      </c>
      <c r="R11" s="77">
        <v>56</v>
      </c>
      <c r="S11" s="1255">
        <v>47</v>
      </c>
      <c r="T11" s="1256">
        <f t="shared" ref="T11:T24" si="4">SUM(O11:S11)</f>
        <v>321</v>
      </c>
      <c r="V11" s="23">
        <v>2</v>
      </c>
      <c r="W11" s="24" t="s">
        <v>15</v>
      </c>
      <c r="X11" s="670">
        <f t="shared" ref="X11:X23" si="5">C11+I11+O11</f>
        <v>293</v>
      </c>
      <c r="Y11" s="77">
        <f t="shared" ref="Y11:Y24" si="6">D11+J11+P11</f>
        <v>266</v>
      </c>
      <c r="Z11" s="77">
        <f t="shared" ref="Z11:Z24" si="7">E11+K11+Q11</f>
        <v>244</v>
      </c>
      <c r="AA11" s="77">
        <f t="shared" ref="AA11:AA24" si="8">F11+L11+R11</f>
        <v>142</v>
      </c>
      <c r="AB11" s="1255">
        <f t="shared" ref="AB11:AB24" si="9">G11+M11+S11</f>
        <v>70</v>
      </c>
      <c r="AC11" s="1256">
        <f t="shared" ref="AC11:AC24" si="10">SUM(X11:AB11)</f>
        <v>1015</v>
      </c>
      <c r="AD11" s="670">
        <v>37</v>
      </c>
      <c r="AE11" s="77">
        <v>25</v>
      </c>
      <c r="AF11" s="77">
        <v>17</v>
      </c>
      <c r="AG11" s="77">
        <v>11</v>
      </c>
      <c r="AH11" s="1255">
        <v>8</v>
      </c>
      <c r="AI11" s="1264">
        <f t="shared" ref="AI11:AI24" si="11">SUM(AD11:AH11)</f>
        <v>98</v>
      </c>
      <c r="AJ11" s="1325">
        <f t="shared" si="1"/>
        <v>9.6551724137931033E-2</v>
      </c>
      <c r="AM11" s="347"/>
      <c r="AW11" s="425"/>
      <c r="AX11" s="425"/>
      <c r="AY11" s="425"/>
      <c r="AZ11" s="425"/>
      <c r="BA11" s="425"/>
      <c r="BB11" s="425"/>
      <c r="BC11" s="425"/>
      <c r="BD11" s="425"/>
      <c r="BE11" s="425"/>
      <c r="BF11" s="425"/>
      <c r="BG11" s="425"/>
      <c r="BH11" s="425"/>
      <c r="BI11" s="425"/>
      <c r="BJ11" s="425"/>
    </row>
    <row r="12" spans="1:62" s="413" customFormat="1" ht="12.9" customHeight="1" x14ac:dyDescent="0.35">
      <c r="A12" s="70">
        <v>3</v>
      </c>
      <c r="B12" s="24" t="s">
        <v>16</v>
      </c>
      <c r="C12" s="670">
        <f>2+122</f>
        <v>124</v>
      </c>
      <c r="D12" s="77">
        <v>106</v>
      </c>
      <c r="E12" s="77">
        <v>73</v>
      </c>
      <c r="F12" s="77">
        <v>46</v>
      </c>
      <c r="G12" s="1255">
        <v>13</v>
      </c>
      <c r="H12" s="1256">
        <f t="shared" si="2"/>
        <v>362</v>
      </c>
      <c r="I12" s="670">
        <f>3+46</f>
        <v>49</v>
      </c>
      <c r="J12" s="77">
        <v>56</v>
      </c>
      <c r="K12" s="77">
        <v>59</v>
      </c>
      <c r="L12" s="77">
        <v>29</v>
      </c>
      <c r="M12" s="1255">
        <v>18</v>
      </c>
      <c r="N12" s="1256">
        <f t="shared" si="3"/>
        <v>211</v>
      </c>
      <c r="O12" s="670">
        <v>65</v>
      </c>
      <c r="P12" s="77">
        <v>98</v>
      </c>
      <c r="Q12" s="77">
        <v>88</v>
      </c>
      <c r="R12" s="77">
        <v>69</v>
      </c>
      <c r="S12" s="1255">
        <v>42</v>
      </c>
      <c r="T12" s="1256">
        <f t="shared" si="4"/>
        <v>362</v>
      </c>
      <c r="V12" s="23">
        <v>3</v>
      </c>
      <c r="W12" s="24" t="s">
        <v>16</v>
      </c>
      <c r="X12" s="670">
        <f t="shared" si="5"/>
        <v>238</v>
      </c>
      <c r="Y12" s="77">
        <f t="shared" si="6"/>
        <v>260</v>
      </c>
      <c r="Z12" s="77">
        <f t="shared" si="7"/>
        <v>220</v>
      </c>
      <c r="AA12" s="77">
        <f t="shared" si="8"/>
        <v>144</v>
      </c>
      <c r="AB12" s="1255">
        <f t="shared" si="9"/>
        <v>73</v>
      </c>
      <c r="AC12" s="1256">
        <f t="shared" si="10"/>
        <v>935</v>
      </c>
      <c r="AD12" s="670">
        <v>47</v>
      </c>
      <c r="AE12" s="77">
        <v>35</v>
      </c>
      <c r="AF12" s="77">
        <v>29</v>
      </c>
      <c r="AG12" s="77">
        <v>11</v>
      </c>
      <c r="AH12" s="1255">
        <v>11</v>
      </c>
      <c r="AI12" s="1264">
        <f t="shared" si="11"/>
        <v>133</v>
      </c>
      <c r="AJ12" s="1325">
        <f t="shared" si="1"/>
        <v>0.14224598930481283</v>
      </c>
      <c r="AW12" s="425"/>
      <c r="AX12" s="425"/>
      <c r="AY12" s="425"/>
      <c r="AZ12" s="425"/>
      <c r="BA12" s="425"/>
      <c r="BB12" s="425"/>
      <c r="BC12" s="425"/>
      <c r="BD12" s="425"/>
      <c r="BE12" s="425"/>
      <c r="BF12" s="425"/>
      <c r="BG12" s="425"/>
      <c r="BH12" s="425"/>
      <c r="BI12" s="425"/>
      <c r="BJ12" s="425"/>
    </row>
    <row r="13" spans="1:62" s="413" customFormat="1" ht="12.9" customHeight="1" x14ac:dyDescent="0.35">
      <c r="A13" s="70">
        <v>4</v>
      </c>
      <c r="B13" s="24" t="s">
        <v>17</v>
      </c>
      <c r="C13" s="670">
        <f>1+98</f>
        <v>99</v>
      </c>
      <c r="D13" s="77">
        <v>50</v>
      </c>
      <c r="E13" s="77">
        <v>46</v>
      </c>
      <c r="F13" s="77">
        <v>45</v>
      </c>
      <c r="G13" s="1255">
        <v>9</v>
      </c>
      <c r="H13" s="1256">
        <f t="shared" si="2"/>
        <v>249</v>
      </c>
      <c r="I13" s="670">
        <f>2+68</f>
        <v>70</v>
      </c>
      <c r="J13" s="77">
        <v>43</v>
      </c>
      <c r="K13" s="77">
        <v>30</v>
      </c>
      <c r="L13" s="77">
        <v>32</v>
      </c>
      <c r="M13" s="1255">
        <v>23</v>
      </c>
      <c r="N13" s="1256">
        <f t="shared" si="3"/>
        <v>198</v>
      </c>
      <c r="O13" s="670">
        <v>27</v>
      </c>
      <c r="P13" s="77">
        <v>38</v>
      </c>
      <c r="Q13" s="77">
        <v>63</v>
      </c>
      <c r="R13" s="77">
        <v>52</v>
      </c>
      <c r="S13" s="1255">
        <v>55</v>
      </c>
      <c r="T13" s="1256">
        <f t="shared" si="4"/>
        <v>235</v>
      </c>
      <c r="V13" s="23">
        <v>4</v>
      </c>
      <c r="W13" s="24" t="s">
        <v>17</v>
      </c>
      <c r="X13" s="670">
        <f t="shared" si="5"/>
        <v>196</v>
      </c>
      <c r="Y13" s="77">
        <f t="shared" si="6"/>
        <v>131</v>
      </c>
      <c r="Z13" s="77">
        <f t="shared" si="7"/>
        <v>139</v>
      </c>
      <c r="AA13" s="77">
        <f t="shared" si="8"/>
        <v>129</v>
      </c>
      <c r="AB13" s="1255">
        <f t="shared" si="9"/>
        <v>87</v>
      </c>
      <c r="AC13" s="1256">
        <f t="shared" si="10"/>
        <v>682</v>
      </c>
      <c r="AD13" s="670">
        <v>25</v>
      </c>
      <c r="AE13" s="77">
        <v>18</v>
      </c>
      <c r="AF13" s="77">
        <v>30</v>
      </c>
      <c r="AG13" s="77">
        <v>26</v>
      </c>
      <c r="AH13" s="1255">
        <v>21</v>
      </c>
      <c r="AI13" s="1264">
        <f t="shared" si="11"/>
        <v>120</v>
      </c>
      <c r="AJ13" s="1325">
        <f t="shared" si="1"/>
        <v>0.17595307917888564</v>
      </c>
      <c r="AW13" s="425"/>
      <c r="AX13" s="425"/>
      <c r="AY13" s="425"/>
      <c r="AZ13" s="425"/>
      <c r="BA13" s="425"/>
      <c r="BB13" s="425"/>
      <c r="BC13" s="425"/>
      <c r="BD13" s="425"/>
      <c r="BE13" s="425"/>
      <c r="BF13" s="425"/>
      <c r="BG13" s="425"/>
      <c r="BH13" s="425"/>
      <c r="BI13" s="425"/>
      <c r="BJ13" s="425"/>
    </row>
    <row r="14" spans="1:62" s="413" customFormat="1" ht="12.9" customHeight="1" x14ac:dyDescent="0.35">
      <c r="A14" s="70">
        <v>5</v>
      </c>
      <c r="B14" s="24" t="s">
        <v>18</v>
      </c>
      <c r="C14" s="670">
        <v>122</v>
      </c>
      <c r="D14" s="77">
        <v>70</v>
      </c>
      <c r="E14" s="77">
        <v>137</v>
      </c>
      <c r="F14" s="77">
        <v>144</v>
      </c>
      <c r="G14" s="1255">
        <v>47</v>
      </c>
      <c r="H14" s="1256">
        <f t="shared" si="2"/>
        <v>520</v>
      </c>
      <c r="I14" s="670">
        <f>5+63</f>
        <v>68</v>
      </c>
      <c r="J14" s="77">
        <v>49</v>
      </c>
      <c r="K14" s="77">
        <v>72</v>
      </c>
      <c r="L14" s="77">
        <v>83</v>
      </c>
      <c r="M14" s="1255">
        <v>31</v>
      </c>
      <c r="N14" s="1256">
        <f t="shared" si="3"/>
        <v>303</v>
      </c>
      <c r="O14" s="670">
        <v>28</v>
      </c>
      <c r="P14" s="77">
        <v>58</v>
      </c>
      <c r="Q14" s="77">
        <v>109</v>
      </c>
      <c r="R14" s="77">
        <v>121</v>
      </c>
      <c r="S14" s="1255">
        <v>90</v>
      </c>
      <c r="T14" s="1256">
        <f t="shared" si="4"/>
        <v>406</v>
      </c>
      <c r="V14" s="23">
        <v>5</v>
      </c>
      <c r="W14" s="24" t="s">
        <v>18</v>
      </c>
      <c r="X14" s="670">
        <f t="shared" si="5"/>
        <v>218</v>
      </c>
      <c r="Y14" s="77">
        <f t="shared" si="6"/>
        <v>177</v>
      </c>
      <c r="Z14" s="77">
        <f t="shared" si="7"/>
        <v>318</v>
      </c>
      <c r="AA14" s="77">
        <f t="shared" si="8"/>
        <v>348</v>
      </c>
      <c r="AB14" s="1255">
        <f t="shared" si="9"/>
        <v>168</v>
      </c>
      <c r="AC14" s="1256">
        <f t="shared" si="10"/>
        <v>1229</v>
      </c>
      <c r="AD14" s="670">
        <v>41</v>
      </c>
      <c r="AE14" s="77">
        <v>28</v>
      </c>
      <c r="AF14" s="77">
        <v>52</v>
      </c>
      <c r="AG14" s="77">
        <v>58</v>
      </c>
      <c r="AH14" s="1255">
        <v>51</v>
      </c>
      <c r="AI14" s="1264">
        <f t="shared" si="11"/>
        <v>230</v>
      </c>
      <c r="AJ14" s="1325">
        <f t="shared" si="1"/>
        <v>0.18714401952807161</v>
      </c>
      <c r="AW14" s="425"/>
      <c r="AX14" s="425"/>
      <c r="AY14" s="425"/>
      <c r="AZ14" s="425"/>
      <c r="BA14" s="425"/>
      <c r="BB14" s="425"/>
      <c r="BC14" s="425"/>
      <c r="BD14" s="425"/>
      <c r="BE14" s="425"/>
      <c r="BF14" s="425"/>
      <c r="BG14" s="425"/>
      <c r="BH14" s="425"/>
      <c r="BI14" s="425"/>
      <c r="BJ14" s="425"/>
    </row>
    <row r="15" spans="1:62" s="413" customFormat="1" ht="12.9" customHeight="1" x14ac:dyDescent="0.35">
      <c r="A15" s="70">
        <v>6</v>
      </c>
      <c r="B15" s="24" t="s">
        <v>19</v>
      </c>
      <c r="C15" s="670">
        <f>3+41</f>
        <v>44</v>
      </c>
      <c r="D15" s="77">
        <v>45</v>
      </c>
      <c r="E15" s="77">
        <v>86</v>
      </c>
      <c r="F15" s="77">
        <v>94</v>
      </c>
      <c r="G15" s="1255">
        <v>67</v>
      </c>
      <c r="H15" s="1256">
        <f t="shared" si="2"/>
        <v>336</v>
      </c>
      <c r="I15" s="670">
        <f>5+41</f>
        <v>46</v>
      </c>
      <c r="J15" s="77">
        <v>24</v>
      </c>
      <c r="K15" s="77">
        <v>27</v>
      </c>
      <c r="L15" s="77">
        <v>49</v>
      </c>
      <c r="M15" s="1255">
        <v>27</v>
      </c>
      <c r="N15" s="1256">
        <f t="shared" si="3"/>
        <v>173</v>
      </c>
      <c r="O15" s="670">
        <v>42</v>
      </c>
      <c r="P15" s="77">
        <v>41</v>
      </c>
      <c r="Q15" s="77">
        <v>59</v>
      </c>
      <c r="R15" s="77">
        <v>67</v>
      </c>
      <c r="S15" s="1255">
        <v>51</v>
      </c>
      <c r="T15" s="1256">
        <f t="shared" si="4"/>
        <v>260</v>
      </c>
      <c r="V15" s="23">
        <v>6</v>
      </c>
      <c r="W15" s="24" t="s">
        <v>19</v>
      </c>
      <c r="X15" s="670">
        <f t="shared" si="5"/>
        <v>132</v>
      </c>
      <c r="Y15" s="77">
        <f t="shared" si="6"/>
        <v>110</v>
      </c>
      <c r="Z15" s="77">
        <f t="shared" si="7"/>
        <v>172</v>
      </c>
      <c r="AA15" s="77">
        <f t="shared" si="8"/>
        <v>210</v>
      </c>
      <c r="AB15" s="1255">
        <f t="shared" si="9"/>
        <v>145</v>
      </c>
      <c r="AC15" s="1256">
        <f t="shared" si="10"/>
        <v>769</v>
      </c>
      <c r="AD15" s="670">
        <v>53</v>
      </c>
      <c r="AE15" s="77">
        <v>45</v>
      </c>
      <c r="AF15" s="77">
        <v>54</v>
      </c>
      <c r="AG15" s="77">
        <v>76</v>
      </c>
      <c r="AH15" s="1255">
        <v>65</v>
      </c>
      <c r="AI15" s="1264">
        <f t="shared" si="11"/>
        <v>293</v>
      </c>
      <c r="AJ15" s="1325">
        <f t="shared" si="1"/>
        <v>0.38101430429128741</v>
      </c>
      <c r="AW15" s="425"/>
      <c r="AX15" s="425"/>
      <c r="AY15" s="425"/>
      <c r="AZ15" s="425"/>
      <c r="BA15" s="425"/>
      <c r="BB15" s="425"/>
      <c r="BC15" s="425"/>
      <c r="BD15" s="425"/>
      <c r="BE15" s="425"/>
      <c r="BF15" s="425"/>
      <c r="BG15" s="425"/>
      <c r="BH15" s="425"/>
      <c r="BI15" s="425"/>
      <c r="BJ15" s="425"/>
    </row>
    <row r="16" spans="1:62" s="413" customFormat="1" ht="12.9" customHeight="1" x14ac:dyDescent="0.35">
      <c r="A16" s="71">
        <v>7</v>
      </c>
      <c r="B16" s="26" t="s">
        <v>20</v>
      </c>
      <c r="C16" s="670">
        <v>45</v>
      </c>
      <c r="D16" s="77">
        <v>48</v>
      </c>
      <c r="E16" s="77">
        <v>78</v>
      </c>
      <c r="F16" s="77">
        <v>113</v>
      </c>
      <c r="G16" s="1255">
        <v>76</v>
      </c>
      <c r="H16" s="1256">
        <f t="shared" si="2"/>
        <v>360</v>
      </c>
      <c r="I16" s="670">
        <f>6+92</f>
        <v>98</v>
      </c>
      <c r="J16" s="77">
        <v>55</v>
      </c>
      <c r="K16" s="77">
        <v>59</v>
      </c>
      <c r="L16" s="77">
        <v>108</v>
      </c>
      <c r="M16" s="1255">
        <v>53</v>
      </c>
      <c r="N16" s="1256">
        <f t="shared" si="3"/>
        <v>373</v>
      </c>
      <c r="O16" s="670">
        <v>28</v>
      </c>
      <c r="P16" s="77">
        <v>53</v>
      </c>
      <c r="Q16" s="77">
        <v>64</v>
      </c>
      <c r="R16" s="77">
        <v>87</v>
      </c>
      <c r="S16" s="1255">
        <v>74</v>
      </c>
      <c r="T16" s="1256">
        <f t="shared" si="4"/>
        <v>306</v>
      </c>
      <c r="V16" s="25">
        <v>7</v>
      </c>
      <c r="W16" s="26" t="s">
        <v>20</v>
      </c>
      <c r="X16" s="670">
        <f t="shared" si="5"/>
        <v>171</v>
      </c>
      <c r="Y16" s="77">
        <f t="shared" si="6"/>
        <v>156</v>
      </c>
      <c r="Z16" s="77">
        <f t="shared" si="7"/>
        <v>201</v>
      </c>
      <c r="AA16" s="77">
        <f t="shared" si="8"/>
        <v>308</v>
      </c>
      <c r="AB16" s="1255">
        <f t="shared" si="9"/>
        <v>203</v>
      </c>
      <c r="AC16" s="1256">
        <f t="shared" si="10"/>
        <v>1039</v>
      </c>
      <c r="AD16" s="670">
        <v>45</v>
      </c>
      <c r="AE16" s="77">
        <v>51</v>
      </c>
      <c r="AF16" s="77">
        <v>49</v>
      </c>
      <c r="AG16" s="77">
        <v>91</v>
      </c>
      <c r="AH16" s="1255">
        <v>57</v>
      </c>
      <c r="AI16" s="1264">
        <f t="shared" si="11"/>
        <v>293</v>
      </c>
      <c r="AJ16" s="1325">
        <f t="shared" si="1"/>
        <v>0.28200192492781523</v>
      </c>
    </row>
    <row r="17" spans="1:47" s="413" customFormat="1" ht="12.9" customHeight="1" x14ac:dyDescent="0.35">
      <c r="A17" s="70">
        <v>8</v>
      </c>
      <c r="B17" s="24" t="s">
        <v>21</v>
      </c>
      <c r="C17" s="670">
        <f>2+138</f>
        <v>140</v>
      </c>
      <c r="D17" s="77">
        <v>54</v>
      </c>
      <c r="E17" s="77">
        <v>82</v>
      </c>
      <c r="F17" s="77">
        <v>116</v>
      </c>
      <c r="G17" s="1255">
        <v>51</v>
      </c>
      <c r="H17" s="1256">
        <f t="shared" si="2"/>
        <v>443</v>
      </c>
      <c r="I17" s="670">
        <f>4+61</f>
        <v>65</v>
      </c>
      <c r="J17" s="77">
        <v>33</v>
      </c>
      <c r="K17" s="77">
        <v>31</v>
      </c>
      <c r="L17" s="77">
        <v>76</v>
      </c>
      <c r="M17" s="1255">
        <v>35</v>
      </c>
      <c r="N17" s="1256">
        <f t="shared" si="3"/>
        <v>240</v>
      </c>
      <c r="O17" s="670">
        <v>87</v>
      </c>
      <c r="P17" s="77">
        <v>38</v>
      </c>
      <c r="Q17" s="77">
        <v>62</v>
      </c>
      <c r="R17" s="77">
        <v>113</v>
      </c>
      <c r="S17" s="1255">
        <v>88</v>
      </c>
      <c r="T17" s="1256">
        <f t="shared" si="4"/>
        <v>388</v>
      </c>
      <c r="V17" s="23">
        <v>8</v>
      </c>
      <c r="W17" s="24" t="s">
        <v>21</v>
      </c>
      <c r="X17" s="670">
        <f t="shared" si="5"/>
        <v>292</v>
      </c>
      <c r="Y17" s="77">
        <f t="shared" si="6"/>
        <v>125</v>
      </c>
      <c r="Z17" s="77">
        <f t="shared" si="7"/>
        <v>175</v>
      </c>
      <c r="AA17" s="77">
        <f t="shared" si="8"/>
        <v>305</v>
      </c>
      <c r="AB17" s="1255">
        <f t="shared" si="9"/>
        <v>174</v>
      </c>
      <c r="AC17" s="1256">
        <f t="shared" si="10"/>
        <v>1071</v>
      </c>
      <c r="AD17" s="670">
        <v>38</v>
      </c>
      <c r="AE17" s="77">
        <v>26</v>
      </c>
      <c r="AF17" s="77">
        <v>13</v>
      </c>
      <c r="AG17" s="77">
        <v>31</v>
      </c>
      <c r="AH17" s="1255">
        <v>35</v>
      </c>
      <c r="AI17" s="1264">
        <f t="shared" si="11"/>
        <v>143</v>
      </c>
      <c r="AJ17" s="1325">
        <f t="shared" si="1"/>
        <v>0.13352007469654528</v>
      </c>
    </row>
    <row r="18" spans="1:47" s="413" customFormat="1" ht="12.9" customHeight="1" x14ac:dyDescent="0.35">
      <c r="A18" s="70">
        <v>9</v>
      </c>
      <c r="B18" s="24" t="s">
        <v>22</v>
      </c>
      <c r="C18" s="670">
        <f>3+54</f>
        <v>57</v>
      </c>
      <c r="D18" s="77">
        <v>63</v>
      </c>
      <c r="E18" s="77">
        <v>73</v>
      </c>
      <c r="F18" s="77">
        <v>84</v>
      </c>
      <c r="G18" s="1255">
        <v>34</v>
      </c>
      <c r="H18" s="1256">
        <f t="shared" si="2"/>
        <v>311</v>
      </c>
      <c r="I18" s="670">
        <f>3+80</f>
        <v>83</v>
      </c>
      <c r="J18" s="77">
        <v>52</v>
      </c>
      <c r="K18" s="77">
        <v>37</v>
      </c>
      <c r="L18" s="77">
        <v>80</v>
      </c>
      <c r="M18" s="1255">
        <v>30</v>
      </c>
      <c r="N18" s="1256">
        <f t="shared" si="3"/>
        <v>282</v>
      </c>
      <c r="O18" s="670">
        <v>57</v>
      </c>
      <c r="P18" s="77">
        <v>49</v>
      </c>
      <c r="Q18" s="77">
        <v>68</v>
      </c>
      <c r="R18" s="77">
        <v>91</v>
      </c>
      <c r="S18" s="1255">
        <v>59</v>
      </c>
      <c r="T18" s="1256">
        <f t="shared" si="4"/>
        <v>324</v>
      </c>
      <c r="V18" s="23">
        <v>9</v>
      </c>
      <c r="W18" s="24" t="s">
        <v>22</v>
      </c>
      <c r="X18" s="670">
        <f t="shared" si="5"/>
        <v>197</v>
      </c>
      <c r="Y18" s="77">
        <f t="shared" si="6"/>
        <v>164</v>
      </c>
      <c r="Z18" s="77">
        <f t="shared" si="7"/>
        <v>178</v>
      </c>
      <c r="AA18" s="77">
        <f t="shared" si="8"/>
        <v>255</v>
      </c>
      <c r="AB18" s="1255">
        <f t="shared" si="9"/>
        <v>123</v>
      </c>
      <c r="AC18" s="1256">
        <f t="shared" si="10"/>
        <v>917</v>
      </c>
      <c r="AD18" s="670">
        <v>45</v>
      </c>
      <c r="AE18" s="77">
        <v>18</v>
      </c>
      <c r="AF18" s="77">
        <v>21</v>
      </c>
      <c r="AG18" s="77">
        <v>40</v>
      </c>
      <c r="AH18" s="1255">
        <v>35</v>
      </c>
      <c r="AI18" s="1264">
        <f t="shared" si="11"/>
        <v>159</v>
      </c>
      <c r="AJ18" s="1325">
        <f t="shared" si="1"/>
        <v>0.17339149400218101</v>
      </c>
    </row>
    <row r="19" spans="1:47" s="413" customFormat="1" ht="12.9" customHeight="1" x14ac:dyDescent="0.35">
      <c r="A19" s="70">
        <v>10</v>
      </c>
      <c r="B19" s="24" t="s">
        <v>23</v>
      </c>
      <c r="C19" s="670">
        <f>2+111</f>
        <v>113</v>
      </c>
      <c r="D19" s="77">
        <v>80</v>
      </c>
      <c r="E19" s="77">
        <v>75</v>
      </c>
      <c r="F19" s="77">
        <v>69</v>
      </c>
      <c r="G19" s="1255">
        <v>17</v>
      </c>
      <c r="H19" s="1256">
        <f t="shared" si="2"/>
        <v>354</v>
      </c>
      <c r="I19" s="670">
        <f>6+39</f>
        <v>45</v>
      </c>
      <c r="J19" s="77">
        <v>50</v>
      </c>
      <c r="K19" s="77">
        <v>84</v>
      </c>
      <c r="L19" s="77">
        <v>73</v>
      </c>
      <c r="M19" s="1255">
        <v>21</v>
      </c>
      <c r="N19" s="1256">
        <f t="shared" si="3"/>
        <v>273</v>
      </c>
      <c r="O19" s="670">
        <v>54</v>
      </c>
      <c r="P19" s="77">
        <v>63</v>
      </c>
      <c r="Q19" s="77">
        <v>83</v>
      </c>
      <c r="R19" s="77">
        <v>92</v>
      </c>
      <c r="S19" s="1255">
        <v>35</v>
      </c>
      <c r="T19" s="1256">
        <f t="shared" si="4"/>
        <v>327</v>
      </c>
      <c r="V19" s="23">
        <v>10</v>
      </c>
      <c r="W19" s="24" t="s">
        <v>23</v>
      </c>
      <c r="X19" s="670">
        <f t="shared" si="5"/>
        <v>212</v>
      </c>
      <c r="Y19" s="77">
        <f t="shared" si="6"/>
        <v>193</v>
      </c>
      <c r="Z19" s="77">
        <f t="shared" si="7"/>
        <v>242</v>
      </c>
      <c r="AA19" s="77">
        <f t="shared" si="8"/>
        <v>234</v>
      </c>
      <c r="AB19" s="1255">
        <f t="shared" si="9"/>
        <v>73</v>
      </c>
      <c r="AC19" s="1256">
        <f t="shared" si="10"/>
        <v>954</v>
      </c>
      <c r="AD19" s="670">
        <v>42</v>
      </c>
      <c r="AE19" s="77">
        <v>37</v>
      </c>
      <c r="AF19" s="77">
        <v>51</v>
      </c>
      <c r="AG19" s="77">
        <v>43</v>
      </c>
      <c r="AH19" s="1255">
        <v>25</v>
      </c>
      <c r="AI19" s="1264">
        <f t="shared" si="11"/>
        <v>198</v>
      </c>
      <c r="AJ19" s="1325">
        <f t="shared" si="1"/>
        <v>0.20754716981132076</v>
      </c>
    </row>
    <row r="20" spans="1:47" s="413" customFormat="1" ht="12.9" customHeight="1" x14ac:dyDescent="0.35">
      <c r="A20" s="70">
        <v>11</v>
      </c>
      <c r="B20" s="24" t="s">
        <v>24</v>
      </c>
      <c r="C20" s="670">
        <f>10+104</f>
        <v>114</v>
      </c>
      <c r="D20" s="77">
        <v>106</v>
      </c>
      <c r="E20" s="77">
        <v>110</v>
      </c>
      <c r="F20" s="77">
        <v>76</v>
      </c>
      <c r="G20" s="1255">
        <v>15</v>
      </c>
      <c r="H20" s="1256">
        <f t="shared" si="2"/>
        <v>421</v>
      </c>
      <c r="I20" s="670">
        <v>36</v>
      </c>
      <c r="J20" s="77">
        <v>25</v>
      </c>
      <c r="K20" s="77">
        <v>63</v>
      </c>
      <c r="L20" s="77">
        <v>88</v>
      </c>
      <c r="M20" s="1255">
        <v>21</v>
      </c>
      <c r="N20" s="1256">
        <f t="shared" si="3"/>
        <v>233</v>
      </c>
      <c r="O20" s="670">
        <f>1+46</f>
        <v>47</v>
      </c>
      <c r="P20" s="77">
        <v>44</v>
      </c>
      <c r="Q20" s="77">
        <v>66</v>
      </c>
      <c r="R20" s="77">
        <v>57</v>
      </c>
      <c r="S20" s="1255">
        <v>28</v>
      </c>
      <c r="T20" s="1256">
        <f t="shared" si="4"/>
        <v>242</v>
      </c>
      <c r="V20" s="23">
        <v>11</v>
      </c>
      <c r="W20" s="24" t="s">
        <v>24</v>
      </c>
      <c r="X20" s="670">
        <f t="shared" si="5"/>
        <v>197</v>
      </c>
      <c r="Y20" s="77">
        <f t="shared" si="6"/>
        <v>175</v>
      </c>
      <c r="Z20" s="77">
        <f t="shared" si="7"/>
        <v>239</v>
      </c>
      <c r="AA20" s="77">
        <f t="shared" si="8"/>
        <v>221</v>
      </c>
      <c r="AB20" s="1255">
        <f t="shared" si="9"/>
        <v>64</v>
      </c>
      <c r="AC20" s="1256">
        <f t="shared" si="10"/>
        <v>896</v>
      </c>
      <c r="AD20" s="670">
        <v>51</v>
      </c>
      <c r="AE20" s="77">
        <v>32</v>
      </c>
      <c r="AF20" s="77">
        <v>40</v>
      </c>
      <c r="AG20" s="77">
        <v>50</v>
      </c>
      <c r="AH20" s="1255">
        <v>19</v>
      </c>
      <c r="AI20" s="1264">
        <f t="shared" si="11"/>
        <v>192</v>
      </c>
      <c r="AJ20" s="1325">
        <f t="shared" si="1"/>
        <v>0.21428571428571427</v>
      </c>
    </row>
    <row r="21" spans="1:47" s="413" customFormat="1" ht="12.9" customHeight="1" x14ac:dyDescent="0.35">
      <c r="A21" s="70">
        <v>12</v>
      </c>
      <c r="B21" s="24" t="s">
        <v>25</v>
      </c>
      <c r="C21" s="670">
        <f>8+126</f>
        <v>134</v>
      </c>
      <c r="D21" s="77">
        <v>118</v>
      </c>
      <c r="E21" s="77">
        <v>113</v>
      </c>
      <c r="F21" s="77">
        <v>85</v>
      </c>
      <c r="G21" s="1255">
        <v>18</v>
      </c>
      <c r="H21" s="1256">
        <f t="shared" si="2"/>
        <v>468</v>
      </c>
      <c r="I21" s="670">
        <f>2+62</f>
        <v>64</v>
      </c>
      <c r="J21" s="77">
        <v>60</v>
      </c>
      <c r="K21" s="77">
        <v>75</v>
      </c>
      <c r="L21" s="77">
        <v>103</v>
      </c>
      <c r="M21" s="1255">
        <v>39</v>
      </c>
      <c r="N21" s="1256">
        <f t="shared" si="3"/>
        <v>341</v>
      </c>
      <c r="O21" s="670">
        <f>1+62</f>
        <v>63</v>
      </c>
      <c r="P21" s="77">
        <v>78</v>
      </c>
      <c r="Q21" s="77">
        <v>85</v>
      </c>
      <c r="R21" s="77">
        <v>110</v>
      </c>
      <c r="S21" s="1255">
        <v>69</v>
      </c>
      <c r="T21" s="1256">
        <f t="shared" si="4"/>
        <v>405</v>
      </c>
      <c r="V21" s="23">
        <v>12</v>
      </c>
      <c r="W21" s="24" t="s">
        <v>25</v>
      </c>
      <c r="X21" s="670">
        <f t="shared" si="5"/>
        <v>261</v>
      </c>
      <c r="Y21" s="77">
        <f t="shared" si="6"/>
        <v>256</v>
      </c>
      <c r="Z21" s="77">
        <f t="shared" si="7"/>
        <v>273</v>
      </c>
      <c r="AA21" s="77">
        <f t="shared" si="8"/>
        <v>298</v>
      </c>
      <c r="AB21" s="1255">
        <f t="shared" si="9"/>
        <v>126</v>
      </c>
      <c r="AC21" s="1256">
        <f t="shared" si="10"/>
        <v>1214</v>
      </c>
      <c r="AD21" s="670">
        <v>65</v>
      </c>
      <c r="AE21" s="77">
        <v>51</v>
      </c>
      <c r="AF21" s="77">
        <v>81</v>
      </c>
      <c r="AG21" s="77">
        <v>100</v>
      </c>
      <c r="AH21" s="1255">
        <v>39</v>
      </c>
      <c r="AI21" s="1264">
        <f t="shared" si="11"/>
        <v>336</v>
      </c>
      <c r="AJ21" s="1325">
        <f t="shared" si="1"/>
        <v>0.27677100494233936</v>
      </c>
    </row>
    <row r="22" spans="1:47" s="413" customFormat="1" ht="12.9" customHeight="1" x14ac:dyDescent="0.35">
      <c r="A22" s="70">
        <v>13</v>
      </c>
      <c r="B22" s="24" t="s">
        <v>26</v>
      </c>
      <c r="C22" s="670">
        <f>10+81</f>
        <v>91</v>
      </c>
      <c r="D22" s="77">
        <v>72</v>
      </c>
      <c r="E22" s="77">
        <v>77</v>
      </c>
      <c r="F22" s="77">
        <v>162</v>
      </c>
      <c r="G22" s="1255">
        <v>55</v>
      </c>
      <c r="H22" s="1256">
        <f t="shared" si="2"/>
        <v>457</v>
      </c>
      <c r="I22" s="670">
        <f>16+72</f>
        <v>88</v>
      </c>
      <c r="J22" s="77">
        <v>51</v>
      </c>
      <c r="K22" s="77">
        <v>76</v>
      </c>
      <c r="L22" s="77">
        <v>186</v>
      </c>
      <c r="M22" s="1255">
        <v>83</v>
      </c>
      <c r="N22" s="1256">
        <f t="shared" si="3"/>
        <v>484</v>
      </c>
      <c r="O22" s="670">
        <f>1+61</f>
        <v>62</v>
      </c>
      <c r="P22" s="77">
        <v>92</v>
      </c>
      <c r="Q22" s="77">
        <v>80</v>
      </c>
      <c r="R22" s="77">
        <v>202</v>
      </c>
      <c r="S22" s="1255">
        <v>142</v>
      </c>
      <c r="T22" s="1256">
        <f t="shared" si="4"/>
        <v>578</v>
      </c>
      <c r="V22" s="23">
        <v>13</v>
      </c>
      <c r="W22" s="24" t="s">
        <v>26</v>
      </c>
      <c r="X22" s="670">
        <f t="shared" si="5"/>
        <v>241</v>
      </c>
      <c r="Y22" s="77">
        <f t="shared" si="6"/>
        <v>215</v>
      </c>
      <c r="Z22" s="77">
        <f t="shared" si="7"/>
        <v>233</v>
      </c>
      <c r="AA22" s="77">
        <f t="shared" si="8"/>
        <v>550</v>
      </c>
      <c r="AB22" s="1255">
        <f t="shared" si="9"/>
        <v>280</v>
      </c>
      <c r="AC22" s="1256">
        <f t="shared" si="10"/>
        <v>1519</v>
      </c>
      <c r="AD22" s="670">
        <v>58</v>
      </c>
      <c r="AE22" s="77">
        <v>42</v>
      </c>
      <c r="AF22" s="77">
        <v>30</v>
      </c>
      <c r="AG22" s="77">
        <v>121</v>
      </c>
      <c r="AH22" s="1255">
        <v>64</v>
      </c>
      <c r="AI22" s="1264">
        <f t="shared" si="11"/>
        <v>315</v>
      </c>
      <c r="AJ22" s="1325">
        <f t="shared" si="1"/>
        <v>0.20737327188940091</v>
      </c>
    </row>
    <row r="23" spans="1:47" s="413" customFormat="1" ht="12.9" customHeight="1" x14ac:dyDescent="0.35">
      <c r="A23" s="70">
        <v>14</v>
      </c>
      <c r="B23" s="24" t="s">
        <v>27</v>
      </c>
      <c r="C23" s="670">
        <f>3+144</f>
        <v>147</v>
      </c>
      <c r="D23" s="77">
        <v>88</v>
      </c>
      <c r="E23" s="77">
        <v>125</v>
      </c>
      <c r="F23" s="77">
        <v>135</v>
      </c>
      <c r="G23" s="1255">
        <v>83</v>
      </c>
      <c r="H23" s="1256">
        <f t="shared" si="2"/>
        <v>578</v>
      </c>
      <c r="I23" s="670">
        <f>13+63</f>
        <v>76</v>
      </c>
      <c r="J23" s="77">
        <v>34</v>
      </c>
      <c r="K23" s="77">
        <v>78</v>
      </c>
      <c r="L23" s="77">
        <v>130</v>
      </c>
      <c r="M23" s="1255">
        <v>85</v>
      </c>
      <c r="N23" s="1256">
        <f t="shared" si="3"/>
        <v>403</v>
      </c>
      <c r="O23" s="670">
        <f>3+36</f>
        <v>39</v>
      </c>
      <c r="P23" s="77">
        <v>69</v>
      </c>
      <c r="Q23" s="77">
        <v>81</v>
      </c>
      <c r="R23" s="77">
        <v>163</v>
      </c>
      <c r="S23" s="1255">
        <v>138</v>
      </c>
      <c r="T23" s="1256">
        <f t="shared" si="4"/>
        <v>490</v>
      </c>
      <c r="V23" s="23">
        <v>14</v>
      </c>
      <c r="W23" s="24" t="s">
        <v>27</v>
      </c>
      <c r="X23" s="670">
        <f t="shared" si="5"/>
        <v>262</v>
      </c>
      <c r="Y23" s="77">
        <f t="shared" si="6"/>
        <v>191</v>
      </c>
      <c r="Z23" s="77">
        <f t="shared" si="7"/>
        <v>284</v>
      </c>
      <c r="AA23" s="77">
        <f t="shared" si="8"/>
        <v>428</v>
      </c>
      <c r="AB23" s="1255">
        <f t="shared" si="9"/>
        <v>306</v>
      </c>
      <c r="AC23" s="1256">
        <f t="shared" si="10"/>
        <v>1471</v>
      </c>
      <c r="AD23" s="670">
        <v>35</v>
      </c>
      <c r="AE23" s="77">
        <v>38</v>
      </c>
      <c r="AF23" s="77">
        <v>68</v>
      </c>
      <c r="AG23" s="77">
        <v>146</v>
      </c>
      <c r="AH23" s="1255">
        <v>84</v>
      </c>
      <c r="AI23" s="1264">
        <f t="shared" si="11"/>
        <v>371</v>
      </c>
      <c r="AJ23" s="1325">
        <f t="shared" si="1"/>
        <v>0.25220938137321552</v>
      </c>
    </row>
    <row r="24" spans="1:47" s="413" customFormat="1" ht="14.25" customHeight="1" thickBot="1" x14ac:dyDescent="0.4">
      <c r="A24" s="76">
        <v>15</v>
      </c>
      <c r="B24" s="28" t="s">
        <v>28</v>
      </c>
      <c r="C24" s="1087">
        <f>3+151</f>
        <v>154</v>
      </c>
      <c r="D24" s="1088">
        <v>118</v>
      </c>
      <c r="E24" s="1088">
        <v>80</v>
      </c>
      <c r="F24" s="1088">
        <v>40</v>
      </c>
      <c r="G24" s="1257">
        <v>17</v>
      </c>
      <c r="H24" s="1258">
        <f t="shared" si="2"/>
        <v>409</v>
      </c>
      <c r="I24" s="1087">
        <f>4+53</f>
        <v>57</v>
      </c>
      <c r="J24" s="1088">
        <v>39</v>
      </c>
      <c r="K24" s="1088">
        <v>47</v>
      </c>
      <c r="L24" s="1088">
        <v>53</v>
      </c>
      <c r="M24" s="1257">
        <v>18</v>
      </c>
      <c r="N24" s="1258">
        <f t="shared" si="3"/>
        <v>214</v>
      </c>
      <c r="O24" s="1087">
        <f>2+84</f>
        <v>86</v>
      </c>
      <c r="P24" s="1088">
        <v>57</v>
      </c>
      <c r="Q24" s="1088">
        <v>57</v>
      </c>
      <c r="R24" s="1088">
        <v>40</v>
      </c>
      <c r="S24" s="1257">
        <v>25</v>
      </c>
      <c r="T24" s="1258">
        <f t="shared" si="4"/>
        <v>265</v>
      </c>
      <c r="V24" s="27">
        <v>15</v>
      </c>
      <c r="W24" s="28" t="s">
        <v>28</v>
      </c>
      <c r="X24" s="1087">
        <f>C24+I24+O24</f>
        <v>297</v>
      </c>
      <c r="Y24" s="1088">
        <f t="shared" si="6"/>
        <v>214</v>
      </c>
      <c r="Z24" s="1088">
        <f t="shared" si="7"/>
        <v>184</v>
      </c>
      <c r="AA24" s="1088">
        <f t="shared" si="8"/>
        <v>133</v>
      </c>
      <c r="AB24" s="1257">
        <f t="shared" si="9"/>
        <v>60</v>
      </c>
      <c r="AC24" s="1258">
        <f t="shared" si="10"/>
        <v>888</v>
      </c>
      <c r="AD24" s="1087">
        <v>86</v>
      </c>
      <c r="AE24" s="1088">
        <v>34</v>
      </c>
      <c r="AF24" s="1088">
        <v>18</v>
      </c>
      <c r="AG24" s="1088">
        <v>26</v>
      </c>
      <c r="AH24" s="1257">
        <v>7</v>
      </c>
      <c r="AI24" s="1265">
        <f t="shared" si="11"/>
        <v>171</v>
      </c>
      <c r="AJ24" s="1326">
        <f t="shared" si="1"/>
        <v>0.19256756756756757</v>
      </c>
      <c r="AM24" s="413" t="s">
        <v>108</v>
      </c>
    </row>
    <row r="25" spans="1:47" s="346" customFormat="1" ht="14.25" customHeight="1" x14ac:dyDescent="0.3">
      <c r="A25" s="406" t="s">
        <v>479</v>
      </c>
      <c r="B25" s="655" t="s">
        <v>543</v>
      </c>
      <c r="C25" s="1084">
        <f>SUM(C10:C24)</f>
        <v>1769</v>
      </c>
      <c r="D25" s="100">
        <f t="shared" ref="D25" si="12">SUM(D10:D24)</f>
        <v>1291</v>
      </c>
      <c r="E25" s="100">
        <f t="shared" ref="E25" si="13">SUM(E10:E24)</f>
        <v>1297</v>
      </c>
      <c r="F25" s="100">
        <f t="shared" ref="F25" si="14">SUM(F10:F24)</f>
        <v>1305</v>
      </c>
      <c r="G25" s="101">
        <f t="shared" ref="G25" si="15">SUM(G10:G24)</f>
        <v>518</v>
      </c>
      <c r="H25" s="1259">
        <f t="shared" ref="H25" si="16">SUM(H10:H24)</f>
        <v>6180</v>
      </c>
      <c r="I25" s="1084">
        <f>SUM(I10:I24)</f>
        <v>993</v>
      </c>
      <c r="J25" s="100">
        <f t="shared" ref="J25:N25" si="17">SUM(J10:J24)</f>
        <v>661</v>
      </c>
      <c r="K25" s="100">
        <f t="shared" si="17"/>
        <v>871</v>
      </c>
      <c r="L25" s="100">
        <f t="shared" si="17"/>
        <v>1175</v>
      </c>
      <c r="M25" s="101">
        <f t="shared" si="17"/>
        <v>518</v>
      </c>
      <c r="N25" s="1259">
        <f t="shared" si="17"/>
        <v>4218</v>
      </c>
      <c r="O25" s="1084">
        <f>SUM(O10:O24)</f>
        <v>765</v>
      </c>
      <c r="P25" s="100">
        <f t="shared" ref="P25" si="18">SUM(P10:P24)</f>
        <v>929</v>
      </c>
      <c r="Q25" s="100">
        <f t="shared" ref="Q25" si="19">SUM(Q10:Q24)</f>
        <v>1140</v>
      </c>
      <c r="R25" s="100">
        <f t="shared" ref="R25" si="20">SUM(R10:R24)</f>
        <v>1383</v>
      </c>
      <c r="S25" s="101">
        <f t="shared" ref="S25" si="21">SUM(S10:S24)</f>
        <v>989</v>
      </c>
      <c r="T25" s="1259">
        <f t="shared" ref="T25" si="22">SUM(T10:T24)</f>
        <v>5206</v>
      </c>
      <c r="U25" s="1352"/>
      <c r="V25" s="406" t="s">
        <v>479</v>
      </c>
      <c r="W25" s="1081" t="s">
        <v>543</v>
      </c>
      <c r="X25" s="1084">
        <f>SUM(X10:X24)</f>
        <v>3527</v>
      </c>
      <c r="Y25" s="100">
        <f t="shared" ref="Y25" si="23">SUM(Y10:Y24)</f>
        <v>2881</v>
      </c>
      <c r="Z25" s="100">
        <f t="shared" ref="Z25" si="24">SUM(Z10:Z24)</f>
        <v>3308</v>
      </c>
      <c r="AA25" s="100">
        <f t="shared" ref="AA25" si="25">SUM(AA10:AA24)</f>
        <v>3863</v>
      </c>
      <c r="AB25" s="101">
        <f t="shared" ref="AB25" si="26">SUM(AB10:AB24)</f>
        <v>2025</v>
      </c>
      <c r="AC25" s="1259">
        <f t="shared" ref="AC25" si="27">SUM(AC10:AC24)</f>
        <v>15604</v>
      </c>
      <c r="AD25" s="1251">
        <f>SUM(AD10:AD24)</f>
        <v>711</v>
      </c>
      <c r="AE25" s="1089">
        <f t="shared" ref="AE25" si="28">SUM(AE10:AE24)</f>
        <v>512</v>
      </c>
      <c r="AF25" s="1089">
        <f t="shared" ref="AF25" si="29">SUM(AF10:AF24)</f>
        <v>581</v>
      </c>
      <c r="AG25" s="1089">
        <f t="shared" ref="AG25" si="30">SUM(AG10:AG24)</f>
        <v>860</v>
      </c>
      <c r="AH25" s="631">
        <f t="shared" ref="AH25" si="31">SUM(AH10:AH24)</f>
        <v>539</v>
      </c>
      <c r="AI25" s="1266">
        <f t="shared" ref="AI25" si="32">SUM(AI10:AI24)</f>
        <v>3203</v>
      </c>
      <c r="AJ25" s="1327">
        <f>AI25/AC25</f>
        <v>0.20526788003076135</v>
      </c>
      <c r="AK25" s="413"/>
      <c r="AL25" s="413"/>
      <c r="AM25" s="413"/>
      <c r="AN25" s="1110"/>
      <c r="AO25" s="413"/>
      <c r="AP25" s="413"/>
      <c r="AQ25" s="413"/>
      <c r="AR25" s="413"/>
      <c r="AS25" s="413"/>
      <c r="AT25" s="413"/>
      <c r="AU25" s="413"/>
    </row>
    <row r="26" spans="1:47" s="413" customFormat="1" ht="14.25" customHeight="1" x14ac:dyDescent="0.35">
      <c r="A26" s="416" t="s">
        <v>479</v>
      </c>
      <c r="B26" s="652" t="s">
        <v>483</v>
      </c>
      <c r="C26" s="626">
        <v>1773</v>
      </c>
      <c r="D26" s="411">
        <v>1371</v>
      </c>
      <c r="E26" s="411">
        <v>1364</v>
      </c>
      <c r="F26" s="411">
        <v>1347</v>
      </c>
      <c r="G26" s="410">
        <v>580</v>
      </c>
      <c r="H26" s="1260">
        <v>6435</v>
      </c>
      <c r="I26" s="626">
        <v>997</v>
      </c>
      <c r="J26" s="411">
        <v>655</v>
      </c>
      <c r="K26" s="411">
        <v>863</v>
      </c>
      <c r="L26" s="411">
        <v>1097</v>
      </c>
      <c r="M26" s="410">
        <v>473</v>
      </c>
      <c r="N26" s="1260">
        <v>4085</v>
      </c>
      <c r="O26" s="626">
        <v>789</v>
      </c>
      <c r="P26" s="411">
        <v>929</v>
      </c>
      <c r="Q26" s="411">
        <v>1167</v>
      </c>
      <c r="R26" s="411">
        <v>1413</v>
      </c>
      <c r="S26" s="410">
        <v>981</v>
      </c>
      <c r="T26" s="1260">
        <v>5279</v>
      </c>
      <c r="U26" s="933"/>
      <c r="V26" s="416" t="s">
        <v>479</v>
      </c>
      <c r="W26" s="1129" t="s">
        <v>483</v>
      </c>
      <c r="X26" s="626">
        <v>3559</v>
      </c>
      <c r="Y26" s="411">
        <v>2955</v>
      </c>
      <c r="Z26" s="411">
        <v>3394</v>
      </c>
      <c r="AA26" s="411">
        <v>3857</v>
      </c>
      <c r="AB26" s="410">
        <v>2034</v>
      </c>
      <c r="AC26" s="1260">
        <v>15799</v>
      </c>
      <c r="AD26" s="1465">
        <v>693</v>
      </c>
      <c r="AE26" s="1466">
        <v>518</v>
      </c>
      <c r="AF26" s="1466">
        <v>609</v>
      </c>
      <c r="AG26" s="1466">
        <v>869</v>
      </c>
      <c r="AH26" s="629">
        <v>541</v>
      </c>
      <c r="AI26" s="1467">
        <v>3230</v>
      </c>
      <c r="AJ26" s="1468">
        <v>0.20444331919741757</v>
      </c>
      <c r="AN26" s="1110"/>
    </row>
    <row r="27" spans="1:47" s="413" customFormat="1" ht="14.25" customHeight="1" x14ac:dyDescent="0.35">
      <c r="A27" s="416"/>
      <c r="B27" s="652" t="s">
        <v>477</v>
      </c>
      <c r="C27" s="626">
        <v>1759</v>
      </c>
      <c r="D27" s="411">
        <v>1313</v>
      </c>
      <c r="E27" s="411">
        <v>1357</v>
      </c>
      <c r="F27" s="411">
        <v>1312</v>
      </c>
      <c r="G27" s="410">
        <v>544</v>
      </c>
      <c r="H27" s="1260">
        <v>6285</v>
      </c>
      <c r="I27" s="626">
        <v>1001</v>
      </c>
      <c r="J27" s="411">
        <v>662</v>
      </c>
      <c r="K27" s="411">
        <v>880</v>
      </c>
      <c r="L27" s="411">
        <v>1148</v>
      </c>
      <c r="M27" s="410">
        <v>505</v>
      </c>
      <c r="N27" s="1260">
        <v>4196</v>
      </c>
      <c r="O27" s="626">
        <v>778</v>
      </c>
      <c r="P27" s="411">
        <v>913</v>
      </c>
      <c r="Q27" s="411">
        <v>1132</v>
      </c>
      <c r="R27" s="411">
        <v>1413</v>
      </c>
      <c r="S27" s="410">
        <v>931</v>
      </c>
      <c r="T27" s="1260">
        <v>5167</v>
      </c>
      <c r="V27" s="416"/>
      <c r="W27" s="1129" t="s">
        <v>477</v>
      </c>
      <c r="X27" s="626">
        <v>3538</v>
      </c>
      <c r="Y27" s="411">
        <v>2888</v>
      </c>
      <c r="Z27" s="411">
        <v>3369</v>
      </c>
      <c r="AA27" s="411">
        <v>3873</v>
      </c>
      <c r="AB27" s="410">
        <v>1980</v>
      </c>
      <c r="AC27" s="1260">
        <v>15648</v>
      </c>
      <c r="AD27" s="626">
        <v>473</v>
      </c>
      <c r="AE27" s="411">
        <v>425</v>
      </c>
      <c r="AF27" s="411">
        <v>578</v>
      </c>
      <c r="AG27" s="411">
        <v>867</v>
      </c>
      <c r="AH27" s="410">
        <v>518</v>
      </c>
      <c r="AI27" s="1260">
        <v>2861</v>
      </c>
      <c r="AJ27" s="1130">
        <f>AI27/AC27</f>
        <v>0.18283486707566463</v>
      </c>
    </row>
    <row r="28" spans="1:47" s="413" customFormat="1" ht="14.25" customHeight="1" x14ac:dyDescent="0.35">
      <c r="A28" s="416"/>
      <c r="B28" s="652" t="s">
        <v>454</v>
      </c>
      <c r="C28" s="670">
        <v>1770</v>
      </c>
      <c r="D28" s="77">
        <v>1297</v>
      </c>
      <c r="E28" s="77">
        <v>1339</v>
      </c>
      <c r="F28" s="77">
        <v>1319</v>
      </c>
      <c r="G28" s="78">
        <v>523</v>
      </c>
      <c r="H28" s="1260">
        <v>6248</v>
      </c>
      <c r="I28" s="670">
        <v>978</v>
      </c>
      <c r="J28" s="77">
        <v>665</v>
      </c>
      <c r="K28" s="77">
        <v>874</v>
      </c>
      <c r="L28" s="77">
        <v>1169</v>
      </c>
      <c r="M28" s="78">
        <v>512</v>
      </c>
      <c r="N28" s="1260">
        <v>4198</v>
      </c>
      <c r="O28" s="670">
        <v>775</v>
      </c>
      <c r="P28" s="77">
        <v>926</v>
      </c>
      <c r="Q28" s="77">
        <v>1144</v>
      </c>
      <c r="R28" s="77">
        <v>1386</v>
      </c>
      <c r="S28" s="78">
        <v>1005</v>
      </c>
      <c r="T28" s="1260">
        <v>5236</v>
      </c>
      <c r="U28" s="933"/>
      <c r="V28" s="416"/>
      <c r="W28" s="1129" t="s">
        <v>454</v>
      </c>
      <c r="X28" s="670">
        <v>3523</v>
      </c>
      <c r="Y28" s="77">
        <v>2888</v>
      </c>
      <c r="Z28" s="77">
        <v>3357</v>
      </c>
      <c r="AA28" s="77">
        <v>3874</v>
      </c>
      <c r="AB28" s="78">
        <v>2040</v>
      </c>
      <c r="AC28" s="1260">
        <v>15682</v>
      </c>
      <c r="AD28" s="670">
        <v>473</v>
      </c>
      <c r="AE28" s="77">
        <v>425</v>
      </c>
      <c r="AF28" s="77">
        <v>578</v>
      </c>
      <c r="AG28" s="77">
        <v>867</v>
      </c>
      <c r="AH28" s="78">
        <v>518</v>
      </c>
      <c r="AI28" s="1260">
        <v>2861</v>
      </c>
      <c r="AJ28" s="1130">
        <v>0.18243846448157122</v>
      </c>
    </row>
    <row r="29" spans="1:47" s="413" customFormat="1" ht="14.25" customHeight="1" x14ac:dyDescent="0.35">
      <c r="A29" s="416"/>
      <c r="B29" s="652" t="s">
        <v>448</v>
      </c>
      <c r="C29" s="670">
        <v>1775</v>
      </c>
      <c r="D29" s="77">
        <v>1279</v>
      </c>
      <c r="E29" s="77">
        <v>1269</v>
      </c>
      <c r="F29" s="77">
        <v>1329</v>
      </c>
      <c r="G29" s="78">
        <v>504</v>
      </c>
      <c r="H29" s="1260">
        <v>6156</v>
      </c>
      <c r="I29" s="670">
        <v>923</v>
      </c>
      <c r="J29" s="77">
        <v>632</v>
      </c>
      <c r="K29" s="77">
        <v>905</v>
      </c>
      <c r="L29" s="77">
        <v>1183</v>
      </c>
      <c r="M29" s="78">
        <v>526</v>
      </c>
      <c r="N29" s="1260">
        <v>4169</v>
      </c>
      <c r="O29" s="670">
        <v>786</v>
      </c>
      <c r="P29" s="77">
        <v>936</v>
      </c>
      <c r="Q29" s="77">
        <v>1100</v>
      </c>
      <c r="R29" s="77">
        <v>1417</v>
      </c>
      <c r="S29" s="78">
        <v>1013</v>
      </c>
      <c r="T29" s="1260">
        <v>5252</v>
      </c>
      <c r="U29" s="933"/>
      <c r="V29" s="416"/>
      <c r="W29" s="1129" t="s">
        <v>448</v>
      </c>
      <c r="X29" s="670">
        <v>3484</v>
      </c>
      <c r="Y29" s="77">
        <v>2847</v>
      </c>
      <c r="Z29" s="77">
        <v>3274</v>
      </c>
      <c r="AA29" s="77">
        <v>3929</v>
      </c>
      <c r="AB29" s="78">
        <v>2043</v>
      </c>
      <c r="AC29" s="1260">
        <v>15577</v>
      </c>
      <c r="AD29" s="670">
        <v>499</v>
      </c>
      <c r="AE29" s="77">
        <v>467</v>
      </c>
      <c r="AF29" s="77">
        <v>586</v>
      </c>
      <c r="AG29" s="77">
        <v>925</v>
      </c>
      <c r="AH29" s="78">
        <v>575</v>
      </c>
      <c r="AI29" s="1260">
        <v>3052</v>
      </c>
      <c r="AJ29" s="1130">
        <v>0.19592989664248572</v>
      </c>
    </row>
    <row r="30" spans="1:47" s="413" customFormat="1" ht="14.25" customHeight="1" x14ac:dyDescent="0.35">
      <c r="A30" s="416"/>
      <c r="B30" s="652" t="s">
        <v>414</v>
      </c>
      <c r="C30" s="670">
        <v>1735</v>
      </c>
      <c r="D30" s="77">
        <v>1297</v>
      </c>
      <c r="E30" s="77">
        <v>1322</v>
      </c>
      <c r="F30" s="77">
        <v>1234</v>
      </c>
      <c r="G30" s="78">
        <v>488</v>
      </c>
      <c r="H30" s="1260">
        <v>6076</v>
      </c>
      <c r="I30" s="670">
        <v>894</v>
      </c>
      <c r="J30" s="77">
        <v>631</v>
      </c>
      <c r="K30" s="77">
        <v>933</v>
      </c>
      <c r="L30" s="77">
        <v>1230</v>
      </c>
      <c r="M30" s="78">
        <v>569</v>
      </c>
      <c r="N30" s="1260">
        <v>4257</v>
      </c>
      <c r="O30" s="670">
        <v>704</v>
      </c>
      <c r="P30" s="77">
        <v>1006</v>
      </c>
      <c r="Q30" s="77">
        <v>1106</v>
      </c>
      <c r="R30" s="77">
        <v>1470</v>
      </c>
      <c r="S30" s="78">
        <v>1059</v>
      </c>
      <c r="T30" s="1260">
        <v>5345</v>
      </c>
      <c r="V30" s="416"/>
      <c r="W30" s="1129" t="s">
        <v>414</v>
      </c>
      <c r="X30" s="670">
        <v>3333</v>
      </c>
      <c r="Y30" s="77">
        <v>2934</v>
      </c>
      <c r="Z30" s="77">
        <v>3361</v>
      </c>
      <c r="AA30" s="77">
        <v>3934</v>
      </c>
      <c r="AB30" s="78">
        <v>2116</v>
      </c>
      <c r="AC30" s="1260">
        <v>15678</v>
      </c>
      <c r="AD30" s="670">
        <v>465</v>
      </c>
      <c r="AE30" s="77">
        <v>403</v>
      </c>
      <c r="AF30" s="77">
        <v>592</v>
      </c>
      <c r="AG30" s="77">
        <v>954</v>
      </c>
      <c r="AH30" s="78">
        <v>566</v>
      </c>
      <c r="AI30" s="1260">
        <v>2980</v>
      </c>
      <c r="AJ30" s="1130">
        <v>0.19007526470213038</v>
      </c>
    </row>
    <row r="31" spans="1:47" s="413" customFormat="1" ht="14.25" customHeight="1" x14ac:dyDescent="0.35">
      <c r="A31" s="367"/>
      <c r="B31" s="175" t="s">
        <v>366</v>
      </c>
      <c r="C31" s="670">
        <v>1605</v>
      </c>
      <c r="D31" s="77">
        <v>1279</v>
      </c>
      <c r="E31" s="77">
        <v>1248</v>
      </c>
      <c r="F31" s="77">
        <v>1204</v>
      </c>
      <c r="G31" s="78">
        <v>461</v>
      </c>
      <c r="H31" s="1261">
        <v>5797</v>
      </c>
      <c r="I31" s="670">
        <v>877</v>
      </c>
      <c r="J31" s="77">
        <v>709</v>
      </c>
      <c r="K31" s="77">
        <v>968</v>
      </c>
      <c r="L31" s="77">
        <v>1342</v>
      </c>
      <c r="M31" s="78">
        <v>619</v>
      </c>
      <c r="N31" s="1261">
        <v>4515</v>
      </c>
      <c r="O31" s="670">
        <v>737</v>
      </c>
      <c r="P31" s="77">
        <v>895</v>
      </c>
      <c r="Q31" s="77">
        <v>1029</v>
      </c>
      <c r="R31" s="77">
        <v>1544</v>
      </c>
      <c r="S31" s="78">
        <v>1090</v>
      </c>
      <c r="T31" s="1261">
        <v>5295</v>
      </c>
      <c r="V31" s="367"/>
      <c r="W31" s="1082" t="s">
        <v>366</v>
      </c>
      <c r="X31" s="670">
        <v>3219</v>
      </c>
      <c r="Y31" s="77">
        <v>2883</v>
      </c>
      <c r="Z31" s="77">
        <v>3245</v>
      </c>
      <c r="AA31" s="77">
        <v>4090</v>
      </c>
      <c r="AB31" s="78">
        <v>2170</v>
      </c>
      <c r="AC31" s="1261">
        <v>15607</v>
      </c>
      <c r="AD31" s="670">
        <v>496</v>
      </c>
      <c r="AE31" s="77">
        <v>446</v>
      </c>
      <c r="AF31" s="77">
        <v>633</v>
      </c>
      <c r="AG31" s="77">
        <v>1052</v>
      </c>
      <c r="AH31" s="78">
        <v>650</v>
      </c>
      <c r="AI31" s="1261">
        <v>3277</v>
      </c>
      <c r="AJ31" s="1085">
        <v>0.20941973415132925</v>
      </c>
    </row>
    <row r="32" spans="1:47" s="413" customFormat="1" ht="14.25" customHeight="1" thickBot="1" x14ac:dyDescent="0.4">
      <c r="A32" s="403"/>
      <c r="B32" s="176" t="s">
        <v>333</v>
      </c>
      <c r="C32" s="671">
        <v>1529</v>
      </c>
      <c r="D32" s="79">
        <v>1213</v>
      </c>
      <c r="E32" s="79">
        <v>1172</v>
      </c>
      <c r="F32" s="79">
        <v>1168</v>
      </c>
      <c r="G32" s="80">
        <v>479</v>
      </c>
      <c r="H32" s="1262">
        <v>5561</v>
      </c>
      <c r="I32" s="671">
        <v>901</v>
      </c>
      <c r="J32" s="79">
        <v>741</v>
      </c>
      <c r="K32" s="79">
        <v>1000</v>
      </c>
      <c r="L32" s="79">
        <v>1524</v>
      </c>
      <c r="M32" s="80">
        <v>649</v>
      </c>
      <c r="N32" s="1262">
        <v>4815</v>
      </c>
      <c r="O32" s="671">
        <v>680</v>
      </c>
      <c r="P32" s="79">
        <v>856</v>
      </c>
      <c r="Q32" s="79">
        <v>1066</v>
      </c>
      <c r="R32" s="79">
        <v>1694</v>
      </c>
      <c r="S32" s="80">
        <v>1129</v>
      </c>
      <c r="T32" s="1262">
        <v>5425</v>
      </c>
      <c r="V32" s="403"/>
      <c r="W32" s="1083" t="s">
        <v>333</v>
      </c>
      <c r="X32" s="671">
        <v>3110</v>
      </c>
      <c r="Y32" s="79">
        <v>2810</v>
      </c>
      <c r="Z32" s="79">
        <v>3238</v>
      </c>
      <c r="AA32" s="79">
        <v>4386</v>
      </c>
      <c r="AB32" s="80">
        <v>2257</v>
      </c>
      <c r="AC32" s="1262">
        <v>15801</v>
      </c>
      <c r="AD32" s="671">
        <v>446</v>
      </c>
      <c r="AE32" s="79">
        <v>457</v>
      </c>
      <c r="AF32" s="79">
        <v>669</v>
      </c>
      <c r="AG32" s="79">
        <v>1154</v>
      </c>
      <c r="AH32" s="80">
        <v>647</v>
      </c>
      <c r="AI32" s="1262">
        <v>3373</v>
      </c>
      <c r="AJ32" s="1086">
        <v>0.21346750205683185</v>
      </c>
    </row>
    <row r="33" spans="1:44" s="413" customFormat="1" x14ac:dyDescent="0.3">
      <c r="A33" s="1" t="s">
        <v>127</v>
      </c>
      <c r="V33" s="1" t="s">
        <v>127</v>
      </c>
    </row>
    <row r="34" spans="1:44" s="413" customFormat="1" x14ac:dyDescent="0.3">
      <c r="A34" s="413" t="s">
        <v>576</v>
      </c>
      <c r="V34" s="413" t="s">
        <v>500</v>
      </c>
    </row>
    <row r="35" spans="1:44" s="413" customFormat="1" x14ac:dyDescent="0.3">
      <c r="A35" s="1278" t="s">
        <v>577</v>
      </c>
    </row>
    <row r="36" spans="1:44" s="413" customFormat="1" x14ac:dyDescent="0.3">
      <c r="A36" s="1" t="s">
        <v>578</v>
      </c>
      <c r="I36" s="933"/>
      <c r="O36" s="933"/>
      <c r="U36" s="933"/>
      <c r="AD36" s="933"/>
    </row>
    <row r="37" spans="1:44" s="413" customFormat="1" ht="12.9" x14ac:dyDescent="0.35">
      <c r="A37" s="8"/>
      <c r="B37" s="422"/>
      <c r="C37" s="425"/>
      <c r="D37" s="422"/>
      <c r="E37" s="422"/>
      <c r="F37" s="422"/>
      <c r="G37" s="425"/>
      <c r="I37" s="933"/>
      <c r="K37" s="425"/>
      <c r="L37" s="422"/>
      <c r="M37" s="422"/>
      <c r="O37" s="933"/>
      <c r="P37" s="422"/>
      <c r="Q37" s="422"/>
      <c r="U37" s="933"/>
      <c r="AD37" s="933"/>
    </row>
    <row r="38" spans="1:44" s="413" customFormat="1" x14ac:dyDescent="0.3">
      <c r="A38" s="8"/>
      <c r="I38" s="933"/>
      <c r="O38" s="933"/>
      <c r="U38" s="933"/>
      <c r="AD38" s="933"/>
    </row>
    <row r="39" spans="1:44" ht="12.9" x14ac:dyDescent="0.3">
      <c r="A39" s="1131"/>
      <c r="B39" s="1131"/>
      <c r="H39" s="2"/>
      <c r="P39" s="2"/>
      <c r="Y39" s="2"/>
      <c r="AA39" s="2"/>
      <c r="AC39" s="413"/>
      <c r="AD39" s="413"/>
      <c r="AJ39" s="2"/>
      <c r="AR39" s="2"/>
    </row>
    <row r="41" spans="1:44" x14ac:dyDescent="0.3">
      <c r="B41" s="1228"/>
    </row>
    <row r="67" spans="1:29" s="413" customFormat="1" x14ac:dyDescent="0.3">
      <c r="A67" s="5"/>
      <c r="AC67" s="5"/>
    </row>
    <row r="68" spans="1:29" s="413" customFormat="1" x14ac:dyDescent="0.3">
      <c r="A68" s="5"/>
      <c r="AC68" s="5"/>
    </row>
    <row r="69" spans="1:29" s="413" customFormat="1" x14ac:dyDescent="0.3">
      <c r="A69" s="5"/>
      <c r="B69" s="1228">
        <v>43465</v>
      </c>
      <c r="AC69" s="5"/>
    </row>
    <row r="70" spans="1:29" s="413" customFormat="1" x14ac:dyDescent="0.3">
      <c r="A70" s="5"/>
      <c r="AC70" s="5"/>
    </row>
    <row r="99" spans="2:2" x14ac:dyDescent="0.3">
      <c r="B99" s="1227">
        <v>43343</v>
      </c>
    </row>
  </sheetData>
  <mergeCells count="6">
    <mergeCell ref="AJ8:AJ9"/>
    <mergeCell ref="C8:H8"/>
    <mergeCell ref="I8:N8"/>
    <mergeCell ref="O8:T8"/>
    <mergeCell ref="X8:AC8"/>
    <mergeCell ref="AD8:AI8"/>
  </mergeCells>
  <printOptions horizontalCentered="1" verticalCentered="1"/>
  <pageMargins left="0.7" right="0.7" top="0.75" bottom="0.75" header="0.3" footer="0.3"/>
  <pageSetup paperSize="8" fitToWidth="0" fitToHeight="0" orientation="landscape" useFirstPageNumber="1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1"/>
  <dimension ref="A1:S29"/>
  <sheetViews>
    <sheetView showGridLines="0" showWhiteSpace="0" zoomScaleNormal="100" workbookViewId="0">
      <selection activeCell="K7" sqref="K7"/>
    </sheetView>
  </sheetViews>
  <sheetFormatPr baseColWidth="10" defaultColWidth="9.69140625" defaultRowHeight="11.6" x14ac:dyDescent="0.3"/>
  <cols>
    <col min="1" max="1" width="9.69140625" style="5"/>
    <col min="2" max="2" width="28.3046875" style="413" customWidth="1"/>
    <col min="3" max="16384" width="9.69140625" style="413"/>
  </cols>
  <sheetData>
    <row r="1" spans="1:19" x14ac:dyDescent="0.3">
      <c r="A1" s="1" t="s">
        <v>0</v>
      </c>
    </row>
    <row r="2" spans="1:19" x14ac:dyDescent="0.3">
      <c r="A2" s="1"/>
    </row>
    <row r="3" spans="1:19" x14ac:dyDescent="0.3">
      <c r="A3" s="1" t="str">
        <f>A5</f>
        <v>Tabell 3 - 5 - A -3  Totalt antall personer som mottar hjemmetjenester **) inkl. avlastning og omsorgslønn pr 31.12.   *)</v>
      </c>
    </row>
    <row r="4" spans="1:19" x14ac:dyDescent="0.3">
      <c r="A4" s="1"/>
      <c r="S4" s="413" t="s">
        <v>108</v>
      </c>
    </row>
    <row r="5" spans="1:19" s="8" customFormat="1" ht="15.75" customHeight="1" thickBot="1" x14ac:dyDescent="0.35">
      <c r="A5" s="1298" t="s">
        <v>564</v>
      </c>
      <c r="B5" s="217"/>
      <c r="C5" s="217"/>
      <c r="D5" s="217"/>
      <c r="E5" s="217"/>
      <c r="F5" s="217"/>
      <c r="G5" s="217"/>
      <c r="H5" s="217"/>
      <c r="I5" s="217"/>
    </row>
    <row r="6" spans="1:19" ht="45.65" customHeight="1" thickBot="1" x14ac:dyDescent="0.4">
      <c r="A6" s="218"/>
      <c r="B6" s="337"/>
      <c r="C6" s="1686" t="s">
        <v>561</v>
      </c>
      <c r="D6" s="1687"/>
      <c r="E6" s="1687"/>
      <c r="F6" s="1687"/>
      <c r="G6" s="1687"/>
      <c r="H6" s="1687"/>
      <c r="I6" s="1688"/>
      <c r="K6" s="413" t="s">
        <v>108</v>
      </c>
    </row>
    <row r="7" spans="1:19" ht="28.75" thickBot="1" x14ac:dyDescent="0.4">
      <c r="A7" s="1299" t="s">
        <v>2</v>
      </c>
      <c r="B7" s="237" t="s">
        <v>3</v>
      </c>
      <c r="C7" s="395" t="s">
        <v>4</v>
      </c>
      <c r="D7" s="395" t="s">
        <v>5</v>
      </c>
      <c r="E7" s="1300" t="s">
        <v>6</v>
      </c>
      <c r="F7" s="398" t="s">
        <v>12</v>
      </c>
      <c r="G7" s="398" t="s">
        <v>478</v>
      </c>
      <c r="H7" s="1301" t="s">
        <v>485</v>
      </c>
      <c r="I7" s="1302" t="s">
        <v>13</v>
      </c>
    </row>
    <row r="8" spans="1:19" ht="14.15" x14ac:dyDescent="0.35">
      <c r="A8" s="221">
        <v>1</v>
      </c>
      <c r="B8" s="226" t="s">
        <v>14</v>
      </c>
      <c r="C8" s="1303">
        <v>70</v>
      </c>
      <c r="D8" s="1304">
        <v>369</v>
      </c>
      <c r="E8" s="1304">
        <v>270</v>
      </c>
      <c r="F8" s="1304">
        <v>234</v>
      </c>
      <c r="G8" s="1304">
        <v>162</v>
      </c>
      <c r="H8" s="1305">
        <v>60</v>
      </c>
      <c r="I8" s="1306">
        <f t="shared" ref="I8:I22" si="0">SUM(C8:H8)</f>
        <v>1165</v>
      </c>
    </row>
    <row r="9" spans="1:19" ht="14.15" x14ac:dyDescent="0.35">
      <c r="A9" s="223">
        <v>2</v>
      </c>
      <c r="B9" s="224" t="s">
        <v>15</v>
      </c>
      <c r="C9" s="1307">
        <v>21</v>
      </c>
      <c r="D9" s="1308">
        <v>315</v>
      </c>
      <c r="E9" s="1308">
        <v>282</v>
      </c>
      <c r="F9" s="1308">
        <v>283</v>
      </c>
      <c r="G9" s="1308">
        <v>154</v>
      </c>
      <c r="H9" s="1309">
        <v>68</v>
      </c>
      <c r="I9" s="1310">
        <f t="shared" si="0"/>
        <v>1123</v>
      </c>
    </row>
    <row r="10" spans="1:19" ht="14.15" x14ac:dyDescent="0.35">
      <c r="A10" s="223">
        <v>3</v>
      </c>
      <c r="B10" s="224" t="s">
        <v>16</v>
      </c>
      <c r="C10" s="1307">
        <v>30</v>
      </c>
      <c r="D10" s="1308">
        <v>259</v>
      </c>
      <c r="E10" s="1308">
        <v>275</v>
      </c>
      <c r="F10" s="1308">
        <v>261</v>
      </c>
      <c r="G10" s="1308">
        <v>142</v>
      </c>
      <c r="H10" s="1309">
        <v>70</v>
      </c>
      <c r="I10" s="1310">
        <f t="shared" si="0"/>
        <v>1037</v>
      </c>
    </row>
    <row r="11" spans="1:19" ht="14.15" x14ac:dyDescent="0.35">
      <c r="A11" s="223">
        <v>4</v>
      </c>
      <c r="B11" s="224" t="s">
        <v>17</v>
      </c>
      <c r="C11" s="1307">
        <v>24</v>
      </c>
      <c r="D11" s="1308">
        <v>199</v>
      </c>
      <c r="E11" s="1308">
        <v>147</v>
      </c>
      <c r="F11" s="1308">
        <v>196</v>
      </c>
      <c r="G11" s="1308">
        <v>159</v>
      </c>
      <c r="H11" s="1309">
        <v>89</v>
      </c>
      <c r="I11" s="1310">
        <f t="shared" si="0"/>
        <v>814</v>
      </c>
    </row>
    <row r="12" spans="1:19" ht="14.15" x14ac:dyDescent="0.35">
      <c r="A12" s="223">
        <v>5</v>
      </c>
      <c r="B12" s="224" t="s">
        <v>18</v>
      </c>
      <c r="C12" s="1307">
        <v>36</v>
      </c>
      <c r="D12" s="1308">
        <v>248</v>
      </c>
      <c r="E12" s="1308">
        <v>184</v>
      </c>
      <c r="F12" s="1308">
        <v>314</v>
      </c>
      <c r="G12" s="1308">
        <v>342</v>
      </c>
      <c r="H12" s="1309">
        <v>170</v>
      </c>
      <c r="I12" s="1310">
        <f t="shared" si="0"/>
        <v>1294</v>
      </c>
      <c r="L12" s="413" t="s">
        <v>108</v>
      </c>
    </row>
    <row r="13" spans="1:19" ht="14.15" x14ac:dyDescent="0.35">
      <c r="A13" s="223">
        <v>6</v>
      </c>
      <c r="B13" s="224" t="s">
        <v>19</v>
      </c>
      <c r="C13" s="1307">
        <v>46</v>
      </c>
      <c r="D13" s="1308">
        <v>154</v>
      </c>
      <c r="E13" s="1308">
        <v>136</v>
      </c>
      <c r="F13" s="1308">
        <v>188</v>
      </c>
      <c r="G13" s="1308">
        <v>224</v>
      </c>
      <c r="H13" s="1309">
        <v>155</v>
      </c>
      <c r="I13" s="1310">
        <f t="shared" si="0"/>
        <v>903</v>
      </c>
    </row>
    <row r="14" spans="1:19" ht="14.15" x14ac:dyDescent="0.35">
      <c r="A14" s="225">
        <v>7</v>
      </c>
      <c r="B14" s="226" t="s">
        <v>20</v>
      </c>
      <c r="C14" s="1307">
        <v>39</v>
      </c>
      <c r="D14" s="1308">
        <v>189</v>
      </c>
      <c r="E14" s="1308">
        <v>167</v>
      </c>
      <c r="F14" s="1308">
        <v>235</v>
      </c>
      <c r="G14" s="1308">
        <v>317</v>
      </c>
      <c r="H14" s="1309">
        <v>212</v>
      </c>
      <c r="I14" s="1310">
        <f t="shared" si="0"/>
        <v>1159</v>
      </c>
    </row>
    <row r="15" spans="1:19" ht="14.15" x14ac:dyDescent="0.35">
      <c r="A15" s="223">
        <v>8</v>
      </c>
      <c r="B15" s="224" t="s">
        <v>21</v>
      </c>
      <c r="C15" s="1307">
        <v>54</v>
      </c>
      <c r="D15" s="1308">
        <v>304</v>
      </c>
      <c r="E15" s="1308">
        <v>143</v>
      </c>
      <c r="F15" s="1308">
        <v>203</v>
      </c>
      <c r="G15" s="1308">
        <v>330</v>
      </c>
      <c r="H15" s="1309">
        <v>201</v>
      </c>
      <c r="I15" s="1310">
        <f t="shared" si="0"/>
        <v>1235</v>
      </c>
    </row>
    <row r="16" spans="1:19" ht="14.15" x14ac:dyDescent="0.35">
      <c r="A16" s="223">
        <v>9</v>
      </c>
      <c r="B16" s="224" t="s">
        <v>22</v>
      </c>
      <c r="C16" s="1307">
        <v>47</v>
      </c>
      <c r="D16" s="1308">
        <v>229</v>
      </c>
      <c r="E16" s="1308">
        <v>173</v>
      </c>
      <c r="F16" s="1308">
        <v>196</v>
      </c>
      <c r="G16" s="1308">
        <v>245</v>
      </c>
      <c r="H16" s="1309">
        <v>142</v>
      </c>
      <c r="I16" s="1310">
        <f t="shared" si="0"/>
        <v>1032</v>
      </c>
    </row>
    <row r="17" spans="1:10" ht="14.15" x14ac:dyDescent="0.35">
      <c r="A17" s="223">
        <v>10</v>
      </c>
      <c r="B17" s="224" t="s">
        <v>23</v>
      </c>
      <c r="C17" s="1307">
        <v>55</v>
      </c>
      <c r="D17" s="1308">
        <v>244</v>
      </c>
      <c r="E17" s="1308">
        <v>220</v>
      </c>
      <c r="F17" s="1308">
        <v>256</v>
      </c>
      <c r="G17" s="1308">
        <v>232</v>
      </c>
      <c r="H17" s="1309">
        <v>95</v>
      </c>
      <c r="I17" s="1310">
        <f t="shared" si="0"/>
        <v>1102</v>
      </c>
    </row>
    <row r="18" spans="1:10" ht="14.15" x14ac:dyDescent="0.35">
      <c r="A18" s="223">
        <v>11</v>
      </c>
      <c r="B18" s="224" t="s">
        <v>24</v>
      </c>
      <c r="C18" s="1307">
        <v>55</v>
      </c>
      <c r="D18" s="1308">
        <v>243</v>
      </c>
      <c r="E18" s="1308">
        <v>178</v>
      </c>
      <c r="F18" s="1308">
        <v>254</v>
      </c>
      <c r="G18" s="1308">
        <v>236</v>
      </c>
      <c r="H18" s="1309">
        <v>81</v>
      </c>
      <c r="I18" s="1311">
        <f t="shared" si="0"/>
        <v>1047</v>
      </c>
    </row>
    <row r="19" spans="1:10" ht="14.15" x14ac:dyDescent="0.35">
      <c r="A19" s="223">
        <v>12</v>
      </c>
      <c r="B19" s="224" t="s">
        <v>25</v>
      </c>
      <c r="C19" s="1307">
        <v>108</v>
      </c>
      <c r="D19" s="1308">
        <v>334</v>
      </c>
      <c r="E19" s="1308">
        <v>278</v>
      </c>
      <c r="F19" s="1308">
        <v>328</v>
      </c>
      <c r="G19" s="1308">
        <v>323</v>
      </c>
      <c r="H19" s="1309">
        <v>127</v>
      </c>
      <c r="I19" s="1310">
        <f t="shared" si="0"/>
        <v>1498</v>
      </c>
    </row>
    <row r="20" spans="1:10" ht="14.15" x14ac:dyDescent="0.35">
      <c r="A20" s="223">
        <v>13</v>
      </c>
      <c r="B20" s="224" t="s">
        <v>26</v>
      </c>
      <c r="C20" s="1307">
        <v>75</v>
      </c>
      <c r="D20" s="1308">
        <v>227</v>
      </c>
      <c r="E20" s="1308">
        <v>258</v>
      </c>
      <c r="F20" s="1308">
        <v>253</v>
      </c>
      <c r="G20" s="1308">
        <v>565</v>
      </c>
      <c r="H20" s="1309">
        <v>275</v>
      </c>
      <c r="I20" s="1310">
        <f t="shared" si="0"/>
        <v>1653</v>
      </c>
    </row>
    <row r="21" spans="1:10" ht="14.15" x14ac:dyDescent="0.35">
      <c r="A21" s="223">
        <v>14</v>
      </c>
      <c r="B21" s="224" t="s">
        <v>27</v>
      </c>
      <c r="C21" s="1307">
        <v>61</v>
      </c>
      <c r="D21" s="1308">
        <v>294</v>
      </c>
      <c r="E21" s="1308">
        <v>202</v>
      </c>
      <c r="F21" s="1308">
        <v>314</v>
      </c>
      <c r="G21" s="1308">
        <v>445</v>
      </c>
      <c r="H21" s="1309">
        <v>278</v>
      </c>
      <c r="I21" s="1310">
        <f t="shared" si="0"/>
        <v>1594</v>
      </c>
    </row>
    <row r="22" spans="1:10" ht="13.95" customHeight="1" thickBot="1" x14ac:dyDescent="0.4">
      <c r="A22" s="495">
        <v>15</v>
      </c>
      <c r="B22" s="227" t="s">
        <v>28</v>
      </c>
      <c r="C22" s="1312">
        <v>86</v>
      </c>
      <c r="D22" s="1313">
        <v>365</v>
      </c>
      <c r="E22" s="1313">
        <v>253</v>
      </c>
      <c r="F22" s="1313">
        <v>225</v>
      </c>
      <c r="G22" s="1313">
        <v>146</v>
      </c>
      <c r="H22" s="1314">
        <v>58</v>
      </c>
      <c r="I22" s="1315">
        <f t="shared" si="0"/>
        <v>1133</v>
      </c>
      <c r="J22" s="933"/>
    </row>
    <row r="23" spans="1:10" ht="14.6" thickBot="1" x14ac:dyDescent="0.4">
      <c r="A23" s="1316" t="s">
        <v>479</v>
      </c>
      <c r="B23" s="1317" t="s">
        <v>543</v>
      </c>
      <c r="C23" s="1318">
        <f t="shared" ref="C23:I23" si="1">SUM(C8:C22)</f>
        <v>807</v>
      </c>
      <c r="D23" s="1318">
        <f t="shared" si="1"/>
        <v>3973</v>
      </c>
      <c r="E23" s="1318">
        <f t="shared" si="1"/>
        <v>3166</v>
      </c>
      <c r="F23" s="1318">
        <f t="shared" si="1"/>
        <v>3740</v>
      </c>
      <c r="G23" s="1318">
        <f t="shared" si="1"/>
        <v>4022</v>
      </c>
      <c r="H23" s="1318">
        <f t="shared" si="1"/>
        <v>2081</v>
      </c>
      <c r="I23" s="1319">
        <f t="shared" si="1"/>
        <v>17789</v>
      </c>
      <c r="J23" s="933"/>
    </row>
    <row r="24" spans="1:10" ht="14.6" thickBot="1" x14ac:dyDescent="0.4">
      <c r="A24" s="1473" t="s">
        <v>479</v>
      </c>
      <c r="B24" s="1474" t="s">
        <v>483</v>
      </c>
      <c r="C24" s="1475">
        <v>799</v>
      </c>
      <c r="D24" s="1475">
        <v>3832</v>
      </c>
      <c r="E24" s="1476">
        <v>3110</v>
      </c>
      <c r="F24" s="1476">
        <v>3625</v>
      </c>
      <c r="G24" s="1476">
        <v>4018</v>
      </c>
      <c r="H24" s="1476">
        <v>2070</v>
      </c>
      <c r="I24" s="1477">
        <f>SUM(C24:H24)</f>
        <v>17454</v>
      </c>
      <c r="J24" s="933"/>
    </row>
    <row r="25" spans="1:10" s="346" customFormat="1" ht="14.6" thickBot="1" x14ac:dyDescent="0.4">
      <c r="A25" s="1320"/>
      <c r="B25" s="730" t="s">
        <v>454</v>
      </c>
      <c r="C25" s="1321">
        <v>777</v>
      </c>
      <c r="D25" s="1321">
        <v>3818</v>
      </c>
      <c r="E25" s="1322">
        <v>3068</v>
      </c>
      <c r="F25" s="1322">
        <v>3615</v>
      </c>
      <c r="G25" s="1322">
        <v>4059</v>
      </c>
      <c r="H25" s="1322">
        <v>2073</v>
      </c>
      <c r="I25" s="1323">
        <f>SUM(C25:H25)</f>
        <v>17410</v>
      </c>
    </row>
    <row r="26" spans="1:10" x14ac:dyDescent="0.3">
      <c r="A26" s="1" t="s">
        <v>562</v>
      </c>
    </row>
    <row r="27" spans="1:10" ht="20.25" customHeight="1" x14ac:dyDescent="0.3">
      <c r="A27" s="413" t="s">
        <v>503</v>
      </c>
    </row>
    <row r="28" spans="1:10" x14ac:dyDescent="0.3">
      <c r="A28" s="5" t="s">
        <v>563</v>
      </c>
    </row>
    <row r="29" spans="1:10" x14ac:dyDescent="0.3">
      <c r="A29" s="1"/>
    </row>
  </sheetData>
  <mergeCells count="1">
    <mergeCell ref="C6:I6"/>
  </mergeCells>
  <pageMargins left="0.7" right="0.7" top="0.75" bottom="0.75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R126"/>
  <sheetViews>
    <sheetView showGridLines="0" zoomScaleNormal="100" zoomScalePageLayoutView="110" workbookViewId="0">
      <selection activeCell="J5" sqref="J5"/>
    </sheetView>
  </sheetViews>
  <sheetFormatPr baseColWidth="10" defaultColWidth="11.4609375" defaultRowHeight="11.6" x14ac:dyDescent="0.3"/>
  <cols>
    <col min="1" max="1" width="6.3046875" style="5" bestFit="1" customWidth="1"/>
    <col min="2" max="2" width="20.53515625" style="2" customWidth="1"/>
    <col min="3" max="3" width="15" style="2" customWidth="1"/>
    <col min="4" max="5" width="13.4609375" style="2" customWidth="1"/>
    <col min="6" max="6" width="13.4609375" style="2" bestFit="1" customWidth="1"/>
    <col min="7" max="7" width="12.69140625" style="2" customWidth="1"/>
    <col min="8" max="8" width="12.07421875" style="2" customWidth="1"/>
    <col min="9" max="10" width="11.4609375" style="2"/>
    <col min="11" max="11" width="34" style="2" customWidth="1"/>
    <col min="12" max="16384" width="11.4609375" style="2"/>
  </cols>
  <sheetData>
    <row r="1" spans="1:8" x14ac:dyDescent="0.3">
      <c r="A1" s="1" t="s">
        <v>0</v>
      </c>
    </row>
    <row r="2" spans="1:8" x14ac:dyDescent="0.3">
      <c r="A2" s="1" t="str">
        <f>A8</f>
        <v xml:space="preserve">Tabell 3 - 5 - B - A1 - Andel utførte timer av vedtatte timer i hjemmetjenesten </v>
      </c>
    </row>
    <row r="3" spans="1:8" x14ac:dyDescent="0.3">
      <c r="A3" s="1" t="str">
        <f>A37</f>
        <v>Tabell 3 - 5 - B - A2 - Antall vedtakstimer i hjemmetjenesten - hittil i år</v>
      </c>
    </row>
    <row r="4" spans="1:8" x14ac:dyDescent="0.3">
      <c r="A4" s="1" t="str">
        <f>A67</f>
        <v>Tabell 3 - 5 - B - A3 - Antall utførte timer i hjemmetjenesten - hittil i år</v>
      </c>
      <c r="G4" s="6"/>
      <c r="H4" s="6"/>
    </row>
    <row r="5" spans="1:8" x14ac:dyDescent="0.3">
      <c r="A5" s="1" t="str">
        <f>A99</f>
        <v>Tabell 3 - 5 - B - A4- Antall utførte timer i hjemmetjenesten - herav utført av private leverandører - hittil i år</v>
      </c>
      <c r="H5" s="2" t="s">
        <v>108</v>
      </c>
    </row>
    <row r="7" spans="1:8" s="8" customFormat="1" ht="12.45" x14ac:dyDescent="0.3">
      <c r="A7" s="541" t="s">
        <v>134</v>
      </c>
      <c r="B7" s="542"/>
      <c r="C7" s="542"/>
    </row>
    <row r="8" spans="1:8" s="8" customFormat="1" ht="12.9" thickBot="1" x14ac:dyDescent="0.35">
      <c r="A8" s="86" t="s">
        <v>509</v>
      </c>
      <c r="B8" s="86"/>
      <c r="C8" s="86"/>
      <c r="D8" s="86"/>
      <c r="E8" s="86"/>
      <c r="F8" s="86"/>
      <c r="G8" s="86"/>
      <c r="H8" s="86"/>
    </row>
    <row r="9" spans="1:8" ht="58.3" thickBot="1" x14ac:dyDescent="0.35">
      <c r="A9" s="65" t="s">
        <v>2</v>
      </c>
      <c r="B9" s="87" t="s">
        <v>3</v>
      </c>
      <c r="C9" s="88" t="s">
        <v>123</v>
      </c>
      <c r="D9" s="89" t="s">
        <v>118</v>
      </c>
      <c r="E9" s="90" t="s">
        <v>493</v>
      </c>
      <c r="F9" s="91" t="s">
        <v>494</v>
      </c>
      <c r="G9" s="89" t="s">
        <v>124</v>
      </c>
      <c r="H9" s="92" t="s">
        <v>52</v>
      </c>
    </row>
    <row r="10" spans="1:8" x14ac:dyDescent="0.3">
      <c r="A10" s="69">
        <v>1</v>
      </c>
      <c r="B10" s="26" t="s">
        <v>14</v>
      </c>
      <c r="C10" s="1485">
        <f t="shared" ref="C10:H19" si="0">C69/C39</f>
        <v>0.98472310918470407</v>
      </c>
      <c r="D10" s="1486">
        <f t="shared" si="0"/>
        <v>0.82838099114684038</v>
      </c>
      <c r="E10" s="1486">
        <f t="shared" si="0"/>
        <v>1</v>
      </c>
      <c r="F10" s="1487">
        <f t="shared" si="0"/>
        <v>1</v>
      </c>
      <c r="G10" s="1486">
        <f t="shared" si="0"/>
        <v>0.79571252089237698</v>
      </c>
      <c r="H10" s="1488">
        <f t="shared" si="0"/>
        <v>0.23714914952438967</v>
      </c>
    </row>
    <row r="11" spans="1:8" x14ac:dyDescent="0.3">
      <c r="A11" s="70">
        <v>2</v>
      </c>
      <c r="B11" s="24" t="s">
        <v>15</v>
      </c>
      <c r="C11" s="1489">
        <f t="shared" si="0"/>
        <v>0.97403836761070328</v>
      </c>
      <c r="D11" s="1490">
        <f t="shared" si="0"/>
        <v>0.67906739120338122</v>
      </c>
      <c r="E11" s="1490">
        <f t="shared" si="0"/>
        <v>1</v>
      </c>
      <c r="F11" s="1490">
        <f t="shared" si="0"/>
        <v>1</v>
      </c>
      <c r="G11" s="1490">
        <f t="shared" si="0"/>
        <v>0.73782190290777827</v>
      </c>
      <c r="H11" s="1491">
        <f t="shared" si="0"/>
        <v>0.53954457659855648</v>
      </c>
    </row>
    <row r="12" spans="1:8" x14ac:dyDescent="0.3">
      <c r="A12" s="70">
        <v>3</v>
      </c>
      <c r="B12" s="24" t="s">
        <v>16</v>
      </c>
      <c r="C12" s="1489">
        <f t="shared" si="0"/>
        <v>0.97667726334503491</v>
      </c>
      <c r="D12" s="1490">
        <f t="shared" si="0"/>
        <v>0.64133456904541242</v>
      </c>
      <c r="E12" s="1490">
        <f t="shared" si="0"/>
        <v>1</v>
      </c>
      <c r="F12" s="1490">
        <f t="shared" si="0"/>
        <v>1</v>
      </c>
      <c r="G12" s="1490">
        <f t="shared" si="0"/>
        <v>0.86484775590301954</v>
      </c>
      <c r="H12" s="1491">
        <f t="shared" si="0"/>
        <v>0.8256152749364577</v>
      </c>
    </row>
    <row r="13" spans="1:8" x14ac:dyDescent="0.3">
      <c r="A13" s="70">
        <v>4</v>
      </c>
      <c r="B13" s="24" t="s">
        <v>17</v>
      </c>
      <c r="C13" s="1489">
        <f t="shared" si="0"/>
        <v>0.98465037348207707</v>
      </c>
      <c r="D13" s="1490">
        <f t="shared" si="0"/>
        <v>0.78223976319684263</v>
      </c>
      <c r="E13" s="1490">
        <f t="shared" si="0"/>
        <v>1</v>
      </c>
      <c r="F13" s="1490">
        <f t="shared" si="0"/>
        <v>1</v>
      </c>
      <c r="G13" s="1490">
        <f t="shared" si="0"/>
        <v>0.81839477766556656</v>
      </c>
      <c r="H13" s="1491">
        <f t="shared" si="0"/>
        <v>0.19028213166144201</v>
      </c>
    </row>
    <row r="14" spans="1:8" x14ac:dyDescent="0.3">
      <c r="A14" s="70">
        <v>5</v>
      </c>
      <c r="B14" s="24" t="s">
        <v>18</v>
      </c>
      <c r="C14" s="1489">
        <f t="shared" si="0"/>
        <v>0.99239548178047587</v>
      </c>
      <c r="D14" s="1490">
        <f t="shared" si="0"/>
        <v>0.89217680016600953</v>
      </c>
      <c r="E14" s="1490">
        <f t="shared" si="0"/>
        <v>1</v>
      </c>
      <c r="F14" s="1490">
        <f t="shared" si="0"/>
        <v>1</v>
      </c>
      <c r="G14" s="1490">
        <f t="shared" si="0"/>
        <v>0.85584346793222077</v>
      </c>
      <c r="H14" s="1491">
        <f t="shared" si="0"/>
        <v>1.0564700080143024</v>
      </c>
    </row>
    <row r="15" spans="1:8" x14ac:dyDescent="0.3">
      <c r="A15" s="71">
        <v>6</v>
      </c>
      <c r="B15" s="26" t="s">
        <v>19</v>
      </c>
      <c r="C15" s="1489">
        <f t="shared" si="0"/>
        <v>0.99128765414738229</v>
      </c>
      <c r="D15" s="1490">
        <f t="shared" si="0"/>
        <v>0.82959641255605376</v>
      </c>
      <c r="E15" s="1490">
        <f t="shared" si="0"/>
        <v>1</v>
      </c>
      <c r="F15" s="1490">
        <f t="shared" si="0"/>
        <v>1</v>
      </c>
      <c r="G15" s="1490">
        <f t="shared" si="0"/>
        <v>0.81073148272488349</v>
      </c>
      <c r="H15" s="1491">
        <f t="shared" si="0"/>
        <v>0.36784741144414168</v>
      </c>
    </row>
    <row r="16" spans="1:8" x14ac:dyDescent="0.3">
      <c r="A16" s="71">
        <v>7</v>
      </c>
      <c r="B16" s="26" t="s">
        <v>20</v>
      </c>
      <c r="C16" s="1489">
        <f t="shared" si="0"/>
        <v>0.9741439266865769</v>
      </c>
      <c r="D16" s="1490">
        <f t="shared" si="0"/>
        <v>0.53379953379953382</v>
      </c>
      <c r="E16" s="1490">
        <f t="shared" si="0"/>
        <v>1</v>
      </c>
      <c r="F16" s="1490">
        <f t="shared" si="0"/>
        <v>1</v>
      </c>
      <c r="G16" s="1490">
        <f t="shared" si="0"/>
        <v>0.83508409658617822</v>
      </c>
      <c r="H16" s="1491">
        <f t="shared" si="0"/>
        <v>0.58304647160068845</v>
      </c>
    </row>
    <row r="17" spans="1:11" x14ac:dyDescent="0.3">
      <c r="A17" s="70">
        <v>8</v>
      </c>
      <c r="B17" s="24" t="s">
        <v>21</v>
      </c>
      <c r="C17" s="1489">
        <f t="shared" si="0"/>
        <v>0.99325448953950168</v>
      </c>
      <c r="D17" s="1490">
        <f t="shared" si="0"/>
        <v>0.79390691442884609</v>
      </c>
      <c r="E17" s="1490">
        <f t="shared" si="0"/>
        <v>1</v>
      </c>
      <c r="F17" s="1490">
        <f t="shared" si="0"/>
        <v>1</v>
      </c>
      <c r="G17" s="1490">
        <f t="shared" si="0"/>
        <v>0.9157117632953794</v>
      </c>
      <c r="H17" s="1491">
        <f t="shared" si="0"/>
        <v>0.49876018420120438</v>
      </c>
    </row>
    <row r="18" spans="1:11" x14ac:dyDescent="0.3">
      <c r="A18" s="70">
        <v>9</v>
      </c>
      <c r="B18" s="24" t="s">
        <v>22</v>
      </c>
      <c r="C18" s="1489">
        <f t="shared" si="0"/>
        <v>0.98703009384759888</v>
      </c>
      <c r="D18" s="1490">
        <f t="shared" si="0"/>
        <v>0.78482295559637671</v>
      </c>
      <c r="E18" s="1490">
        <f t="shared" si="0"/>
        <v>1</v>
      </c>
      <c r="F18" s="1490">
        <f t="shared" si="0"/>
        <v>1</v>
      </c>
      <c r="G18" s="1490">
        <f t="shared" si="0"/>
        <v>0.73200591252934533</v>
      </c>
      <c r="H18" s="1491">
        <f t="shared" si="0"/>
        <v>1.0493971868720697</v>
      </c>
    </row>
    <row r="19" spans="1:11" x14ac:dyDescent="0.3">
      <c r="A19" s="70">
        <v>10</v>
      </c>
      <c r="B19" s="24" t="s">
        <v>23</v>
      </c>
      <c r="C19" s="1489">
        <f t="shared" si="0"/>
        <v>0.99139910630577976</v>
      </c>
      <c r="D19" s="1490">
        <f t="shared" si="0"/>
        <v>0.85699246902583204</v>
      </c>
      <c r="E19" s="1490">
        <f t="shared" si="0"/>
        <v>1</v>
      </c>
      <c r="F19" s="1490">
        <f t="shared" si="0"/>
        <v>1</v>
      </c>
      <c r="G19" s="1490">
        <f t="shared" si="0"/>
        <v>0.91489121114178829</v>
      </c>
      <c r="H19" s="1491">
        <f t="shared" si="0"/>
        <v>0.77117087021880737</v>
      </c>
    </row>
    <row r="20" spans="1:11" x14ac:dyDescent="0.3">
      <c r="A20" s="71">
        <v>11</v>
      </c>
      <c r="B20" s="26" t="s">
        <v>24</v>
      </c>
      <c r="C20" s="1489">
        <f t="shared" ref="C20:H25" si="1">C79/C49</f>
        <v>0.98359717008952985</v>
      </c>
      <c r="D20" s="1490">
        <f t="shared" si="1"/>
        <v>0.72909967845659163</v>
      </c>
      <c r="E20" s="1490">
        <f t="shared" si="1"/>
        <v>1</v>
      </c>
      <c r="F20" s="1490">
        <f t="shared" si="1"/>
        <v>1</v>
      </c>
      <c r="G20" s="1490">
        <f t="shared" si="1"/>
        <v>0.87586223588353462</v>
      </c>
      <c r="H20" s="1491">
        <f t="shared" si="1"/>
        <v>1.0878505375535674</v>
      </c>
    </row>
    <row r="21" spans="1:11" x14ac:dyDescent="0.3">
      <c r="A21" s="70">
        <v>12</v>
      </c>
      <c r="B21" s="24" t="s">
        <v>25</v>
      </c>
      <c r="C21" s="1489">
        <f t="shared" si="1"/>
        <v>0.99789960840156644</v>
      </c>
      <c r="D21" s="1490">
        <f t="shared" si="1"/>
        <v>0.97768653087687074</v>
      </c>
      <c r="E21" s="1490">
        <f t="shared" si="1"/>
        <v>1</v>
      </c>
      <c r="F21" s="1490">
        <f t="shared" si="1"/>
        <v>1</v>
      </c>
      <c r="G21" s="1490">
        <f t="shared" si="1"/>
        <v>0.80966180554935385</v>
      </c>
      <c r="H21" s="1491">
        <f t="shared" si="1"/>
        <v>0.75721754944305519</v>
      </c>
    </row>
    <row r="22" spans="1:11" x14ac:dyDescent="0.3">
      <c r="A22" s="70">
        <v>13</v>
      </c>
      <c r="B22" s="24" t="s">
        <v>26</v>
      </c>
      <c r="C22" s="1489">
        <f t="shared" si="1"/>
        <v>0.98920317928819312</v>
      </c>
      <c r="D22" s="1490">
        <f t="shared" si="1"/>
        <v>0.83883313744989907</v>
      </c>
      <c r="E22" s="1490">
        <f t="shared" si="1"/>
        <v>1</v>
      </c>
      <c r="F22" s="1490">
        <f t="shared" si="1"/>
        <v>1</v>
      </c>
      <c r="G22" s="1490">
        <f t="shared" si="1"/>
        <v>1.1031791822001302</v>
      </c>
      <c r="H22" s="1491">
        <f t="shared" si="1"/>
        <v>1.3407064471879286</v>
      </c>
    </row>
    <row r="23" spans="1:11" x14ac:dyDescent="0.3">
      <c r="A23" s="70">
        <v>14</v>
      </c>
      <c r="B23" s="24" t="s">
        <v>27</v>
      </c>
      <c r="C23" s="1489">
        <f t="shared" si="1"/>
        <v>0.99232384359557646</v>
      </c>
      <c r="D23" s="1490">
        <f t="shared" si="1"/>
        <v>0.84696639022261022</v>
      </c>
      <c r="E23" s="1490">
        <f t="shared" si="1"/>
        <v>1</v>
      </c>
      <c r="F23" s="1490">
        <f t="shared" si="1"/>
        <v>1</v>
      </c>
      <c r="G23" s="1490">
        <f t="shared" si="1"/>
        <v>0.59418095550369354</v>
      </c>
      <c r="H23" s="1491">
        <f t="shared" si="1"/>
        <v>7.4837310195227769E-2</v>
      </c>
    </row>
    <row r="24" spans="1:11" ht="12.75" customHeight="1" thickBot="1" x14ac:dyDescent="0.35">
      <c r="A24" s="76">
        <v>15</v>
      </c>
      <c r="B24" s="28" t="s">
        <v>28</v>
      </c>
      <c r="C24" s="1492">
        <f t="shared" si="1"/>
        <v>0.99278971539279093</v>
      </c>
      <c r="D24" s="1493">
        <f t="shared" si="1"/>
        <v>0.82128797083839611</v>
      </c>
      <c r="E24" s="1493">
        <f t="shared" si="1"/>
        <v>1</v>
      </c>
      <c r="F24" s="1493">
        <f t="shared" si="1"/>
        <v>1</v>
      </c>
      <c r="G24" s="1493">
        <f t="shared" si="1"/>
        <v>0.84362631288004419</v>
      </c>
      <c r="H24" s="1494">
        <f t="shared" si="1"/>
        <v>0.59660146432083927</v>
      </c>
      <c r="K24" s="346"/>
    </row>
    <row r="25" spans="1:11" ht="12" thickBot="1" x14ac:dyDescent="0.35">
      <c r="A25" s="1271" t="s">
        <v>479</v>
      </c>
      <c r="B25" s="1334" t="s">
        <v>575</v>
      </c>
      <c r="C25" s="1335">
        <f t="shared" si="1"/>
        <v>0.98754270133858191</v>
      </c>
      <c r="D25" s="1335">
        <f t="shared" si="1"/>
        <v>0.79307048344009934</v>
      </c>
      <c r="E25" s="1335">
        <f t="shared" si="1"/>
        <v>1</v>
      </c>
      <c r="F25" s="1335">
        <f t="shared" si="1"/>
        <v>1</v>
      </c>
      <c r="G25" s="1335">
        <f t="shared" si="1"/>
        <v>0.82561199251408313</v>
      </c>
      <c r="H25" s="1336">
        <f t="shared" si="1"/>
        <v>0.64253083599817273</v>
      </c>
      <c r="I25" s="933"/>
    </row>
    <row r="26" spans="1:11" s="413" customFormat="1" x14ac:dyDescent="0.3">
      <c r="A26" s="1480" t="s">
        <v>479</v>
      </c>
      <c r="B26" s="366" t="s">
        <v>488</v>
      </c>
      <c r="C26" s="1338">
        <v>0.9866060172611143</v>
      </c>
      <c r="D26" s="1338">
        <v>0.7825612407467718</v>
      </c>
      <c r="E26" s="1338">
        <v>1</v>
      </c>
      <c r="F26" s="1338">
        <v>1</v>
      </c>
      <c r="G26" s="1338">
        <v>0.80553628719141546</v>
      </c>
      <c r="H26" s="1338">
        <v>0.59002805406783987</v>
      </c>
      <c r="I26" s="933"/>
    </row>
    <row r="27" spans="1:11" s="413" customFormat="1" x14ac:dyDescent="0.3">
      <c r="A27" s="1337"/>
      <c r="B27" s="366" t="s">
        <v>455</v>
      </c>
      <c r="C27" s="1338">
        <v>0.8592467944964185</v>
      </c>
      <c r="D27" s="1338">
        <v>0.74832017647131721</v>
      </c>
      <c r="E27" s="1338">
        <v>0.84507111804802337</v>
      </c>
      <c r="F27" s="1338">
        <v>0.96404396470789611</v>
      </c>
      <c r="G27" s="1338">
        <v>0.82099531422571015</v>
      </c>
      <c r="H27" s="1338">
        <v>0.6630451332779953</v>
      </c>
    </row>
    <row r="28" spans="1:11" s="413" customFormat="1" x14ac:dyDescent="0.3">
      <c r="A28" s="1337"/>
      <c r="B28" s="366" t="s">
        <v>417</v>
      </c>
      <c r="C28" s="1338">
        <v>0.79935304273965813</v>
      </c>
      <c r="D28" s="1338">
        <v>0.76058794220229198</v>
      </c>
      <c r="E28" s="1338">
        <v>0.7657938692264864</v>
      </c>
      <c r="F28" s="1338">
        <v>0.96169225599977126</v>
      </c>
      <c r="G28" s="1338">
        <v>0.81162919214964702</v>
      </c>
      <c r="H28" s="1338">
        <v>0.44604869713797524</v>
      </c>
      <c r="K28" s="1145"/>
    </row>
    <row r="29" spans="1:11" s="413" customFormat="1" x14ac:dyDescent="0.3">
      <c r="A29" s="416"/>
      <c r="B29" s="407" t="s">
        <v>371</v>
      </c>
      <c r="C29" s="360">
        <v>0.74848991118699426</v>
      </c>
      <c r="D29" s="360">
        <v>0.84986119892972034</v>
      </c>
      <c r="E29" s="360">
        <v>0.78431722326330622</v>
      </c>
      <c r="F29" s="360">
        <v>0.94179414928295024</v>
      </c>
      <c r="G29" s="360">
        <v>0.78388944629503288</v>
      </c>
      <c r="H29" s="361">
        <v>0.66259422365114962</v>
      </c>
      <c r="K29" s="1145"/>
    </row>
    <row r="30" spans="1:11" s="413" customFormat="1" x14ac:dyDescent="0.3">
      <c r="A30" s="416"/>
      <c r="B30" s="407" t="s">
        <v>337</v>
      </c>
      <c r="C30" s="360">
        <v>0.73683823706360252</v>
      </c>
      <c r="D30" s="360">
        <v>0.76939650802019754</v>
      </c>
      <c r="E30" s="360">
        <v>0.69493415244706191</v>
      </c>
      <c r="F30" s="360">
        <v>0.90236147303072967</v>
      </c>
      <c r="G30" s="360">
        <v>0.78694153310239823</v>
      </c>
      <c r="H30" s="361">
        <v>0.86062752560849543</v>
      </c>
      <c r="K30" s="1145"/>
    </row>
    <row r="31" spans="1:11" s="413" customFormat="1" x14ac:dyDescent="0.3">
      <c r="A31" s="416"/>
      <c r="B31" s="407" t="s">
        <v>309</v>
      </c>
      <c r="C31" s="360">
        <v>0.72490223557107969</v>
      </c>
      <c r="D31" s="360">
        <v>0.7588986823361823</v>
      </c>
      <c r="E31" s="360">
        <v>0.71351050311509712</v>
      </c>
      <c r="F31" s="360">
        <v>0.66369498861199983</v>
      </c>
      <c r="G31" s="360">
        <v>0.79052328872067823</v>
      </c>
      <c r="H31" s="361">
        <v>0.64922740534046919</v>
      </c>
      <c r="K31" s="1145"/>
    </row>
    <row r="32" spans="1:11" s="345" customFormat="1" ht="12" thickBot="1" x14ac:dyDescent="0.35">
      <c r="A32" s="643"/>
      <c r="B32" s="698" t="s">
        <v>133</v>
      </c>
      <c r="C32" s="722">
        <v>0.73277723358692437</v>
      </c>
      <c r="D32" s="722">
        <v>0.79148483007922765</v>
      </c>
      <c r="E32" s="722">
        <v>0.72087064822926439</v>
      </c>
      <c r="F32" s="722">
        <v>0.66417943195857498</v>
      </c>
      <c r="G32" s="722">
        <v>0.80268214074545807</v>
      </c>
      <c r="H32" s="723">
        <v>0.56362934611302307</v>
      </c>
    </row>
    <row r="33" spans="1:11" x14ac:dyDescent="0.3">
      <c r="A33" s="1" t="s">
        <v>504</v>
      </c>
      <c r="C33" s="53"/>
      <c r="D33" s="53"/>
      <c r="E33" s="53"/>
      <c r="F33" s="53"/>
      <c r="G33" s="53"/>
      <c r="H33" s="53"/>
    </row>
    <row r="34" spans="1:11" s="413" customFormat="1" x14ac:dyDescent="0.3">
      <c r="A34" s="1" t="s">
        <v>508</v>
      </c>
      <c r="C34" s="347"/>
      <c r="D34" s="347"/>
      <c r="E34" s="347"/>
      <c r="F34" s="347"/>
      <c r="G34" s="347"/>
      <c r="H34" s="347"/>
    </row>
    <row r="35" spans="1:11" x14ac:dyDescent="0.3">
      <c r="A35" s="8" t="s">
        <v>505</v>
      </c>
      <c r="C35" s="53"/>
      <c r="D35" s="53"/>
      <c r="E35" s="53"/>
      <c r="F35" s="53"/>
      <c r="G35" s="53"/>
      <c r="H35" s="53"/>
    </row>
    <row r="36" spans="1:11" x14ac:dyDescent="0.3">
      <c r="C36" s="53"/>
      <c r="D36" s="53"/>
      <c r="E36" s="53"/>
      <c r="F36" s="53"/>
      <c r="G36" s="53"/>
      <c r="H36" s="53"/>
      <c r="K36" s="2" t="s">
        <v>108</v>
      </c>
    </row>
    <row r="37" spans="1:11" ht="12.9" thickBot="1" x14ac:dyDescent="0.35">
      <c r="A37" s="86" t="s">
        <v>458</v>
      </c>
      <c r="B37" s="86"/>
      <c r="C37" s="86"/>
      <c r="D37" s="86"/>
      <c r="E37" s="86"/>
      <c r="F37" s="86"/>
      <c r="G37" s="86"/>
      <c r="H37" s="86"/>
    </row>
    <row r="38" spans="1:11" ht="58.3" thickBot="1" x14ac:dyDescent="0.35">
      <c r="A38" s="65" t="s">
        <v>2</v>
      </c>
      <c r="B38" s="87" t="s">
        <v>3</v>
      </c>
      <c r="C38" s="88" t="s">
        <v>120</v>
      </c>
      <c r="D38" s="89" t="s">
        <v>118</v>
      </c>
      <c r="E38" s="90" t="s">
        <v>572</v>
      </c>
      <c r="F38" s="91" t="s">
        <v>573</v>
      </c>
      <c r="G38" s="1138" t="s">
        <v>565</v>
      </c>
      <c r="H38" s="92" t="s">
        <v>574</v>
      </c>
      <c r="I38" s="1279"/>
    </row>
    <row r="39" spans="1:11" x14ac:dyDescent="0.3">
      <c r="A39" s="69">
        <v>1</v>
      </c>
      <c r="B39" s="26" t="s">
        <v>14</v>
      </c>
      <c r="C39" s="1328">
        <f>D39+E39+F39</f>
        <v>220791</v>
      </c>
      <c r="D39" s="1281">
        <v>19654</v>
      </c>
      <c r="E39" s="1281">
        <v>88918</v>
      </c>
      <c r="F39" s="1281">
        <v>112219</v>
      </c>
      <c r="G39" s="1281">
        <v>137610</v>
      </c>
      <c r="H39" s="1331">
        <v>21341</v>
      </c>
      <c r="I39" s="933"/>
    </row>
    <row r="40" spans="1:11" x14ac:dyDescent="0.3">
      <c r="A40" s="70">
        <v>2</v>
      </c>
      <c r="B40" s="24" t="s">
        <v>15</v>
      </c>
      <c r="C40" s="1329">
        <f t="shared" ref="C40:C53" si="2">D40+E40+F40</f>
        <v>266162</v>
      </c>
      <c r="D40" s="1282">
        <v>21531</v>
      </c>
      <c r="E40" s="1282">
        <v>179149</v>
      </c>
      <c r="F40" s="1282">
        <v>65482</v>
      </c>
      <c r="G40" s="1282">
        <v>144337</v>
      </c>
      <c r="H40" s="1332">
        <v>39348</v>
      </c>
      <c r="I40" s="933"/>
    </row>
    <row r="41" spans="1:11" x14ac:dyDescent="0.3">
      <c r="A41" s="70">
        <v>3</v>
      </c>
      <c r="B41" s="24" t="s">
        <v>16</v>
      </c>
      <c r="C41" s="1329">
        <f t="shared" si="2"/>
        <v>265492</v>
      </c>
      <c r="D41" s="1282">
        <v>17264</v>
      </c>
      <c r="E41" s="1282">
        <v>168435</v>
      </c>
      <c r="F41" s="1282">
        <v>79793</v>
      </c>
      <c r="G41" s="1282">
        <v>126376</v>
      </c>
      <c r="H41" s="1332">
        <v>16131</v>
      </c>
      <c r="I41" s="933"/>
    </row>
    <row r="42" spans="1:11" x14ac:dyDescent="0.3">
      <c r="A42" s="70">
        <v>4</v>
      </c>
      <c r="B42" s="24" t="s">
        <v>17</v>
      </c>
      <c r="C42" s="1329">
        <f t="shared" si="2"/>
        <v>143782</v>
      </c>
      <c r="D42" s="1282">
        <v>10135</v>
      </c>
      <c r="E42" s="1282">
        <v>69469</v>
      </c>
      <c r="F42" s="1282">
        <v>64178</v>
      </c>
      <c r="G42" s="1282">
        <v>96049</v>
      </c>
      <c r="H42" s="1332">
        <v>6380</v>
      </c>
      <c r="I42" s="933"/>
    </row>
    <row r="43" spans="1:11" x14ac:dyDescent="0.3">
      <c r="A43" s="70">
        <v>5</v>
      </c>
      <c r="B43" s="24" t="s">
        <v>18</v>
      </c>
      <c r="C43" s="1329">
        <f t="shared" si="2"/>
        <v>341639</v>
      </c>
      <c r="D43" s="1282">
        <v>24095</v>
      </c>
      <c r="E43" s="1282">
        <v>231660</v>
      </c>
      <c r="F43" s="1282">
        <v>85884</v>
      </c>
      <c r="G43" s="1282">
        <v>186901</v>
      </c>
      <c r="H43" s="1332">
        <v>16221</v>
      </c>
      <c r="I43" s="933"/>
    </row>
    <row r="44" spans="1:11" x14ac:dyDescent="0.3">
      <c r="A44" s="71">
        <v>6</v>
      </c>
      <c r="B44" s="26" t="s">
        <v>19</v>
      </c>
      <c r="C44" s="1329">
        <f t="shared" si="2"/>
        <v>327122</v>
      </c>
      <c r="D44" s="1495">
        <v>16725</v>
      </c>
      <c r="E44" s="1282">
        <v>242458</v>
      </c>
      <c r="F44" s="1282">
        <v>67939</v>
      </c>
      <c r="G44" s="1282">
        <v>104254</v>
      </c>
      <c r="H44" s="1332">
        <v>2202</v>
      </c>
      <c r="I44" s="933"/>
    </row>
    <row r="45" spans="1:11" x14ac:dyDescent="0.3">
      <c r="A45" s="71">
        <v>7</v>
      </c>
      <c r="B45" s="26" t="s">
        <v>20</v>
      </c>
      <c r="C45" s="1329">
        <f t="shared" si="2"/>
        <v>611075</v>
      </c>
      <c r="D45" s="1495">
        <v>33891</v>
      </c>
      <c r="E45" s="1282">
        <v>459348</v>
      </c>
      <c r="F45" s="1282">
        <v>117836</v>
      </c>
      <c r="G45" s="1282">
        <v>150125</v>
      </c>
      <c r="H45" s="1332">
        <v>2324</v>
      </c>
      <c r="I45" s="933"/>
    </row>
    <row r="46" spans="1:11" x14ac:dyDescent="0.3">
      <c r="A46" s="70">
        <v>8</v>
      </c>
      <c r="B46" s="24" t="s">
        <v>21</v>
      </c>
      <c r="C46" s="1329">
        <f t="shared" si="2"/>
        <v>524497</v>
      </c>
      <c r="D46" s="1495">
        <v>17167</v>
      </c>
      <c r="E46" s="1282">
        <v>466366</v>
      </c>
      <c r="F46" s="1282">
        <v>40964</v>
      </c>
      <c r="G46" s="1282">
        <v>137623</v>
      </c>
      <c r="H46" s="1332">
        <v>5646</v>
      </c>
      <c r="I46" s="933"/>
    </row>
    <row r="47" spans="1:11" x14ac:dyDescent="0.3">
      <c r="A47" s="70">
        <v>9</v>
      </c>
      <c r="B47" s="24" t="s">
        <v>22</v>
      </c>
      <c r="C47" s="1329">
        <f t="shared" si="2"/>
        <v>261914</v>
      </c>
      <c r="D47" s="1495">
        <v>15787</v>
      </c>
      <c r="E47" s="1282">
        <v>206727</v>
      </c>
      <c r="F47" s="1282">
        <v>39400</v>
      </c>
      <c r="G47" s="1282">
        <v>115010</v>
      </c>
      <c r="H47" s="1332">
        <v>5972</v>
      </c>
      <c r="I47" s="933"/>
    </row>
    <row r="48" spans="1:11" x14ac:dyDescent="0.3">
      <c r="A48" s="70">
        <v>10</v>
      </c>
      <c r="B48" s="24" t="s">
        <v>23</v>
      </c>
      <c r="C48" s="1329">
        <f t="shared" si="2"/>
        <v>410655</v>
      </c>
      <c r="D48" s="1495">
        <v>24698</v>
      </c>
      <c r="E48" s="1282">
        <v>335491</v>
      </c>
      <c r="F48" s="1282">
        <v>50466</v>
      </c>
      <c r="G48" s="1282">
        <v>106123</v>
      </c>
      <c r="H48" s="1332">
        <v>11974</v>
      </c>
      <c r="I48" s="933"/>
    </row>
    <row r="49" spans="1:11" x14ac:dyDescent="0.3">
      <c r="A49" s="71">
        <v>11</v>
      </c>
      <c r="B49" s="26" t="s">
        <v>24</v>
      </c>
      <c r="C49" s="1329">
        <f t="shared" si="2"/>
        <v>349269</v>
      </c>
      <c r="D49" s="1495">
        <v>21148</v>
      </c>
      <c r="E49" s="1282">
        <v>302693</v>
      </c>
      <c r="F49" s="1282">
        <v>25428</v>
      </c>
      <c r="G49" s="1282">
        <v>165268</v>
      </c>
      <c r="H49" s="1332">
        <v>26602</v>
      </c>
      <c r="I49" s="933"/>
    </row>
    <row r="50" spans="1:11" x14ac:dyDescent="0.3">
      <c r="A50" s="70">
        <v>12</v>
      </c>
      <c r="B50" s="24" t="s">
        <v>25</v>
      </c>
      <c r="C50" s="1329">
        <f t="shared" si="2"/>
        <v>393260</v>
      </c>
      <c r="D50" s="1495">
        <v>37018</v>
      </c>
      <c r="E50" s="1282">
        <v>313333</v>
      </c>
      <c r="F50" s="1282">
        <v>42909</v>
      </c>
      <c r="G50" s="1282">
        <v>223954</v>
      </c>
      <c r="H50" s="1332">
        <v>13197</v>
      </c>
      <c r="I50" s="933"/>
    </row>
    <row r="51" spans="1:11" x14ac:dyDescent="0.3">
      <c r="A51" s="70">
        <v>13</v>
      </c>
      <c r="B51" s="24" t="s">
        <v>26</v>
      </c>
      <c r="C51" s="1329">
        <f t="shared" si="2"/>
        <v>495331</v>
      </c>
      <c r="D51" s="1495">
        <v>33183</v>
      </c>
      <c r="E51" s="1282">
        <v>378386</v>
      </c>
      <c r="F51" s="1282">
        <v>83762</v>
      </c>
      <c r="G51" s="1282">
        <v>135192</v>
      </c>
      <c r="H51" s="1332">
        <v>5832</v>
      </c>
      <c r="I51" s="933"/>
    </row>
    <row r="52" spans="1:11" x14ac:dyDescent="0.3">
      <c r="A52" s="70">
        <v>14</v>
      </c>
      <c r="B52" s="24" t="s">
        <v>27</v>
      </c>
      <c r="C52" s="1329">
        <f t="shared" si="2"/>
        <v>456739</v>
      </c>
      <c r="D52" s="1495">
        <v>22910</v>
      </c>
      <c r="E52" s="1282">
        <v>359561</v>
      </c>
      <c r="F52" s="1282">
        <v>74268</v>
      </c>
      <c r="G52" s="1282">
        <v>207388</v>
      </c>
      <c r="H52" s="1332">
        <v>23050</v>
      </c>
      <c r="I52" s="933"/>
    </row>
    <row r="53" spans="1:11" ht="13.5" customHeight="1" thickBot="1" x14ac:dyDescent="0.35">
      <c r="A53" s="76">
        <v>15</v>
      </c>
      <c r="B53" s="28" t="s">
        <v>28</v>
      </c>
      <c r="C53" s="1330">
        <f t="shared" si="2"/>
        <v>509966</v>
      </c>
      <c r="D53" s="1496">
        <v>20575</v>
      </c>
      <c r="E53" s="1283">
        <v>410541</v>
      </c>
      <c r="F53" s="1283">
        <v>78850</v>
      </c>
      <c r="G53" s="1283">
        <v>90450</v>
      </c>
      <c r="H53" s="1333">
        <v>18302</v>
      </c>
      <c r="I53" s="933"/>
    </row>
    <row r="54" spans="1:11" ht="12" thickBot="1" x14ac:dyDescent="0.35">
      <c r="A54" s="1271" t="s">
        <v>479</v>
      </c>
      <c r="B54" s="1133" t="s">
        <v>575</v>
      </c>
      <c r="C54" s="1135">
        <f t="shared" ref="C54:H54" si="3">SUM(C39:C53)</f>
        <v>5577694</v>
      </c>
      <c r="D54" s="1135">
        <f t="shared" si="3"/>
        <v>335781</v>
      </c>
      <c r="E54" s="1135">
        <f t="shared" si="3"/>
        <v>4212535</v>
      </c>
      <c r="F54" s="1137">
        <f t="shared" si="3"/>
        <v>1029378</v>
      </c>
      <c r="G54" s="1139">
        <f t="shared" si="3"/>
        <v>2126660</v>
      </c>
      <c r="H54" s="1136">
        <f t="shared" si="3"/>
        <v>214522</v>
      </c>
      <c r="I54" s="933"/>
      <c r="K54" s="1110"/>
    </row>
    <row r="55" spans="1:11" s="413" customFormat="1" x14ac:dyDescent="0.3">
      <c r="A55" s="1478" t="s">
        <v>479</v>
      </c>
      <c r="B55" s="1267" t="s">
        <v>488</v>
      </c>
      <c r="C55" s="1268">
        <v>3688522</v>
      </c>
      <c r="D55" s="1268">
        <v>227218</v>
      </c>
      <c r="E55" s="1268">
        <v>2780020</v>
      </c>
      <c r="F55" s="1479">
        <v>681286</v>
      </c>
      <c r="G55" s="1269">
        <v>1399819</v>
      </c>
      <c r="H55" s="1270">
        <v>141156</v>
      </c>
      <c r="I55" s="933"/>
      <c r="K55" s="1110"/>
    </row>
    <row r="56" spans="1:11" s="413" customFormat="1" x14ac:dyDescent="0.3">
      <c r="A56" s="1242"/>
      <c r="B56" s="1267" t="s">
        <v>455</v>
      </c>
      <c r="C56" s="1268">
        <v>5336525</v>
      </c>
      <c r="D56" s="1268">
        <v>403465</v>
      </c>
      <c r="E56" s="1268">
        <v>3969105</v>
      </c>
      <c r="F56" s="1268">
        <v>963955</v>
      </c>
      <c r="G56" s="1269">
        <v>2022718</v>
      </c>
      <c r="H56" s="1270">
        <v>203597</v>
      </c>
      <c r="I56" s="1110"/>
    </row>
    <row r="57" spans="1:11" s="413" customFormat="1" x14ac:dyDescent="0.3">
      <c r="A57" s="416"/>
      <c r="B57" s="407" t="s">
        <v>417</v>
      </c>
      <c r="C57" s="411">
        <v>4822266</v>
      </c>
      <c r="D57" s="411">
        <v>437526</v>
      </c>
      <c r="E57" s="411">
        <v>3545458</v>
      </c>
      <c r="F57" s="411">
        <v>839282</v>
      </c>
      <c r="G57" s="411">
        <v>1943454</v>
      </c>
      <c r="H57" s="410">
        <v>257510</v>
      </c>
    </row>
    <row r="58" spans="1:11" s="413" customFormat="1" x14ac:dyDescent="0.3">
      <c r="A58" s="416"/>
      <c r="B58" s="407" t="s">
        <v>371</v>
      </c>
      <c r="C58" s="411">
        <v>4743843.5</v>
      </c>
      <c r="D58" s="411">
        <v>757559</v>
      </c>
      <c r="E58" s="411">
        <v>2797298</v>
      </c>
      <c r="F58" s="411">
        <v>821386.5</v>
      </c>
      <c r="G58" s="411">
        <v>1868775</v>
      </c>
      <c r="H58" s="410">
        <v>185065</v>
      </c>
    </row>
    <row r="59" spans="1:11" s="413" customFormat="1" x14ac:dyDescent="0.3">
      <c r="A59" s="416"/>
      <c r="B59" s="407" t="s">
        <v>337</v>
      </c>
      <c r="C59" s="411">
        <v>4612509</v>
      </c>
      <c r="D59" s="411">
        <v>591756</v>
      </c>
      <c r="E59" s="411">
        <v>3307640</v>
      </c>
      <c r="F59" s="411">
        <v>714554</v>
      </c>
      <c r="G59" s="411">
        <v>1802815</v>
      </c>
      <c r="H59" s="410">
        <v>170256</v>
      </c>
    </row>
    <row r="60" spans="1:11" s="413" customFormat="1" x14ac:dyDescent="0.3">
      <c r="A60" s="416"/>
      <c r="B60" s="407" t="s">
        <v>309</v>
      </c>
      <c r="C60" s="411">
        <v>4290671</v>
      </c>
      <c r="D60" s="411">
        <v>673920</v>
      </c>
      <c r="E60" s="411">
        <v>3047096</v>
      </c>
      <c r="F60" s="411">
        <v>598876</v>
      </c>
      <c r="G60" s="411">
        <v>1749130</v>
      </c>
      <c r="H60" s="410">
        <v>157327</v>
      </c>
    </row>
    <row r="61" spans="1:11" s="345" customFormat="1" ht="12" thickBot="1" x14ac:dyDescent="0.35">
      <c r="A61" s="643"/>
      <c r="B61" s="698" t="s">
        <v>133</v>
      </c>
      <c r="C61" s="627">
        <v>4194811</v>
      </c>
      <c r="D61" s="627">
        <v>747466</v>
      </c>
      <c r="E61" s="627">
        <v>2907351</v>
      </c>
      <c r="F61" s="627">
        <v>592492</v>
      </c>
      <c r="G61" s="627">
        <v>1755538</v>
      </c>
      <c r="H61" s="628">
        <v>155455</v>
      </c>
    </row>
    <row r="62" spans="1:11" x14ac:dyDescent="0.3">
      <c r="A62" s="1278" t="s">
        <v>566</v>
      </c>
      <c r="C62" s="53"/>
      <c r="D62" s="53"/>
      <c r="E62" s="53"/>
      <c r="F62" s="53"/>
      <c r="G62" s="53"/>
      <c r="H62" s="53"/>
    </row>
    <row r="63" spans="1:11" s="413" customFormat="1" x14ac:dyDescent="0.3">
      <c r="A63" s="5"/>
      <c r="C63" s="347"/>
      <c r="D63" s="347"/>
      <c r="E63" s="347"/>
      <c r="F63" s="347"/>
      <c r="G63" s="347"/>
      <c r="H63" s="347"/>
    </row>
    <row r="64" spans="1:11" s="413" customFormat="1" x14ac:dyDescent="0.3">
      <c r="A64" s="5"/>
      <c r="C64" s="347"/>
      <c r="D64" s="347"/>
      <c r="E64" s="347"/>
      <c r="F64" s="347"/>
      <c r="G64" s="347"/>
      <c r="H64" s="347"/>
    </row>
    <row r="65" spans="1:11" x14ac:dyDescent="0.3">
      <c r="C65" s="53"/>
      <c r="D65" s="53"/>
      <c r="E65" s="53"/>
      <c r="F65" s="53"/>
      <c r="G65" s="53"/>
      <c r="H65" s="53"/>
    </row>
    <row r="66" spans="1:11" x14ac:dyDescent="0.3">
      <c r="C66" s="53"/>
      <c r="D66" s="53"/>
      <c r="E66" s="53"/>
      <c r="F66" s="53"/>
      <c r="G66" s="53"/>
      <c r="H66" s="53"/>
    </row>
    <row r="67" spans="1:11" ht="12.9" thickBot="1" x14ac:dyDescent="0.35">
      <c r="A67" s="86" t="s">
        <v>456</v>
      </c>
      <c r="B67" s="86"/>
      <c r="C67" s="86"/>
      <c r="D67" s="86"/>
      <c r="E67" s="86"/>
      <c r="F67" s="86"/>
      <c r="G67" s="86"/>
      <c r="H67" s="86"/>
    </row>
    <row r="68" spans="1:11" s="11" customFormat="1" ht="58.3" thickBot="1" x14ac:dyDescent="0.35">
      <c r="A68" s="65" t="s">
        <v>2</v>
      </c>
      <c r="B68" s="87" t="s">
        <v>3</v>
      </c>
      <c r="C68" s="88" t="s">
        <v>119</v>
      </c>
      <c r="D68" s="89" t="s">
        <v>118</v>
      </c>
      <c r="E68" s="90" t="s">
        <v>567</v>
      </c>
      <c r="F68" s="91" t="s">
        <v>494</v>
      </c>
      <c r="G68" s="1138" t="s">
        <v>565</v>
      </c>
      <c r="H68" s="92" t="s">
        <v>568</v>
      </c>
      <c r="K68" s="11" t="s">
        <v>108</v>
      </c>
    </row>
    <row r="69" spans="1:11" x14ac:dyDescent="0.3">
      <c r="A69" s="69">
        <v>1</v>
      </c>
      <c r="B69" s="26" t="s">
        <v>14</v>
      </c>
      <c r="C69" s="1328">
        <f>D69+E69+F69</f>
        <v>217418</v>
      </c>
      <c r="D69" s="1281">
        <v>16281</v>
      </c>
      <c r="E69" s="1281">
        <v>88918</v>
      </c>
      <c r="F69" s="1281">
        <v>112219</v>
      </c>
      <c r="G69" s="1281">
        <v>109498</v>
      </c>
      <c r="H69" s="1331">
        <v>5061</v>
      </c>
      <c r="I69" s="933"/>
    </row>
    <row r="70" spans="1:11" x14ac:dyDescent="0.3">
      <c r="A70" s="70">
        <v>2</v>
      </c>
      <c r="B70" s="24" t="s">
        <v>15</v>
      </c>
      <c r="C70" s="1329">
        <f t="shared" ref="C70:C83" si="4">D70+E70+F70</f>
        <v>259252</v>
      </c>
      <c r="D70" s="1282">
        <v>14621</v>
      </c>
      <c r="E70" s="1282">
        <v>179149</v>
      </c>
      <c r="F70" s="1282">
        <v>65482</v>
      </c>
      <c r="G70" s="1282">
        <v>106495</v>
      </c>
      <c r="H70" s="1332">
        <v>21230</v>
      </c>
      <c r="I70" s="933"/>
    </row>
    <row r="71" spans="1:11" x14ac:dyDescent="0.3">
      <c r="A71" s="70">
        <v>3</v>
      </c>
      <c r="B71" s="24" t="s">
        <v>16</v>
      </c>
      <c r="C71" s="1329">
        <f t="shared" si="4"/>
        <v>259300</v>
      </c>
      <c r="D71" s="1282">
        <v>11072</v>
      </c>
      <c r="E71" s="1282">
        <v>168435</v>
      </c>
      <c r="F71" s="1282">
        <v>79793</v>
      </c>
      <c r="G71" s="1282">
        <v>109296</v>
      </c>
      <c r="H71" s="1332">
        <v>13318</v>
      </c>
      <c r="I71" s="933"/>
    </row>
    <row r="72" spans="1:11" x14ac:dyDescent="0.3">
      <c r="A72" s="70">
        <v>4</v>
      </c>
      <c r="B72" s="24" t="s">
        <v>17</v>
      </c>
      <c r="C72" s="1329">
        <f t="shared" si="4"/>
        <v>141575</v>
      </c>
      <c r="D72" s="1282">
        <v>7928</v>
      </c>
      <c r="E72" s="1282">
        <v>69469</v>
      </c>
      <c r="F72" s="1282">
        <v>64178</v>
      </c>
      <c r="G72" s="1282">
        <v>78606</v>
      </c>
      <c r="H72" s="1332">
        <v>1214</v>
      </c>
      <c r="I72" s="933"/>
    </row>
    <row r="73" spans="1:11" x14ac:dyDescent="0.3">
      <c r="A73" s="70">
        <v>5</v>
      </c>
      <c r="B73" s="24" t="s">
        <v>18</v>
      </c>
      <c r="C73" s="1329">
        <f t="shared" si="4"/>
        <v>339041</v>
      </c>
      <c r="D73" s="1495">
        <v>21497</v>
      </c>
      <c r="E73" s="1282">
        <v>231660</v>
      </c>
      <c r="F73" s="1282">
        <v>85884</v>
      </c>
      <c r="G73" s="1282">
        <v>159958</v>
      </c>
      <c r="H73" s="1332">
        <v>17137</v>
      </c>
      <c r="I73" s="933"/>
    </row>
    <row r="74" spans="1:11" x14ac:dyDescent="0.3">
      <c r="A74" s="71">
        <v>6</v>
      </c>
      <c r="B74" s="26" t="s">
        <v>19</v>
      </c>
      <c r="C74" s="1329">
        <f t="shared" si="4"/>
        <v>324272</v>
      </c>
      <c r="D74" s="1495">
        <v>13875</v>
      </c>
      <c r="E74" s="1282">
        <v>242458</v>
      </c>
      <c r="F74" s="1282">
        <v>67939</v>
      </c>
      <c r="G74" s="1282">
        <v>84522</v>
      </c>
      <c r="H74" s="1332">
        <v>810</v>
      </c>
      <c r="I74" s="933"/>
    </row>
    <row r="75" spans="1:11" x14ac:dyDescent="0.3">
      <c r="A75" s="71">
        <v>7</v>
      </c>
      <c r="B75" s="26" t="s">
        <v>20</v>
      </c>
      <c r="C75" s="1329">
        <f t="shared" si="4"/>
        <v>595275</v>
      </c>
      <c r="D75" s="1495">
        <v>18091</v>
      </c>
      <c r="E75" s="1282">
        <v>459348</v>
      </c>
      <c r="F75" s="1282">
        <v>117836</v>
      </c>
      <c r="G75" s="1282">
        <v>125367</v>
      </c>
      <c r="H75" s="1332">
        <v>1355</v>
      </c>
      <c r="I75" s="933"/>
    </row>
    <row r="76" spans="1:11" x14ac:dyDescent="0.3">
      <c r="A76" s="70">
        <v>8</v>
      </c>
      <c r="B76" s="24" t="s">
        <v>21</v>
      </c>
      <c r="C76" s="1329">
        <f t="shared" si="4"/>
        <v>520959</v>
      </c>
      <c r="D76" s="1495">
        <v>13629</v>
      </c>
      <c r="E76" s="1282">
        <v>466366</v>
      </c>
      <c r="F76" s="1282">
        <v>40964</v>
      </c>
      <c r="G76" s="1282">
        <v>126023</v>
      </c>
      <c r="H76" s="1332">
        <v>2816</v>
      </c>
      <c r="I76" s="933"/>
    </row>
    <row r="77" spans="1:11" x14ac:dyDescent="0.3">
      <c r="A77" s="70">
        <v>9</v>
      </c>
      <c r="B77" s="24" t="s">
        <v>22</v>
      </c>
      <c r="C77" s="1329">
        <f t="shared" si="4"/>
        <v>258517</v>
      </c>
      <c r="D77" s="1495">
        <v>12390</v>
      </c>
      <c r="E77" s="1282">
        <v>206727</v>
      </c>
      <c r="F77" s="1282">
        <v>39400</v>
      </c>
      <c r="G77" s="1282">
        <v>84188</v>
      </c>
      <c r="H77" s="1332">
        <v>6267</v>
      </c>
      <c r="I77" s="933"/>
    </row>
    <row r="78" spans="1:11" x14ac:dyDescent="0.3">
      <c r="A78" s="70">
        <v>10</v>
      </c>
      <c r="B78" s="24" t="s">
        <v>23</v>
      </c>
      <c r="C78" s="1329">
        <f t="shared" si="4"/>
        <v>407123</v>
      </c>
      <c r="D78" s="1495">
        <v>21166</v>
      </c>
      <c r="E78" s="1282">
        <v>335491</v>
      </c>
      <c r="F78" s="1282">
        <v>50466</v>
      </c>
      <c r="G78" s="1282">
        <v>97091</v>
      </c>
      <c r="H78" s="1332">
        <v>9234</v>
      </c>
      <c r="I78" s="933"/>
    </row>
    <row r="79" spans="1:11" x14ac:dyDescent="0.3">
      <c r="A79" s="71">
        <v>11</v>
      </c>
      <c r="B79" s="26" t="s">
        <v>24</v>
      </c>
      <c r="C79" s="1329">
        <f t="shared" si="4"/>
        <v>343540</v>
      </c>
      <c r="D79" s="1495">
        <v>15419</v>
      </c>
      <c r="E79" s="1282">
        <v>302693</v>
      </c>
      <c r="F79" s="1282">
        <v>25428</v>
      </c>
      <c r="G79" s="1282">
        <v>144752</v>
      </c>
      <c r="H79" s="1332">
        <v>28939</v>
      </c>
      <c r="I79" s="933"/>
    </row>
    <row r="80" spans="1:11" x14ac:dyDescent="0.3">
      <c r="A80" s="70">
        <v>12</v>
      </c>
      <c r="B80" s="24" t="s">
        <v>25</v>
      </c>
      <c r="C80" s="1329">
        <f t="shared" si="4"/>
        <v>392434</v>
      </c>
      <c r="D80" s="1495">
        <v>36192</v>
      </c>
      <c r="E80" s="1282">
        <v>313333</v>
      </c>
      <c r="F80" s="1282">
        <v>42909</v>
      </c>
      <c r="G80" s="1282">
        <v>181327</v>
      </c>
      <c r="H80" s="1332">
        <v>9993</v>
      </c>
      <c r="I80" s="933"/>
    </row>
    <row r="81" spans="1:9" x14ac:dyDescent="0.3">
      <c r="A81" s="70">
        <v>13</v>
      </c>
      <c r="B81" s="24" t="s">
        <v>26</v>
      </c>
      <c r="C81" s="1329">
        <f t="shared" si="4"/>
        <v>489983</v>
      </c>
      <c r="D81" s="1495">
        <v>27835</v>
      </c>
      <c r="E81" s="1282">
        <v>378386</v>
      </c>
      <c r="F81" s="1282">
        <v>83762</v>
      </c>
      <c r="G81" s="1282">
        <v>149141</v>
      </c>
      <c r="H81" s="1332">
        <v>7819</v>
      </c>
      <c r="I81" s="933"/>
    </row>
    <row r="82" spans="1:9" x14ac:dyDescent="0.3">
      <c r="A82" s="70">
        <v>14</v>
      </c>
      <c r="B82" s="24" t="s">
        <v>27</v>
      </c>
      <c r="C82" s="1329">
        <f t="shared" si="4"/>
        <v>453233</v>
      </c>
      <c r="D82" s="1495">
        <v>19404</v>
      </c>
      <c r="E82" s="1282">
        <v>359561</v>
      </c>
      <c r="F82" s="1282">
        <v>74268</v>
      </c>
      <c r="G82" s="1282">
        <v>123226</v>
      </c>
      <c r="H82" s="1332">
        <v>1725</v>
      </c>
      <c r="I82" s="933"/>
    </row>
    <row r="83" spans="1:9" s="413" customFormat="1" ht="13.5" customHeight="1" thickBot="1" x14ac:dyDescent="0.35">
      <c r="A83" s="72">
        <v>15</v>
      </c>
      <c r="B83" s="73" t="s">
        <v>28</v>
      </c>
      <c r="C83" s="1330">
        <f t="shared" si="4"/>
        <v>506289</v>
      </c>
      <c r="D83" s="1496">
        <v>16898</v>
      </c>
      <c r="E83" s="1283">
        <v>410541</v>
      </c>
      <c r="F83" s="1283">
        <v>78850</v>
      </c>
      <c r="G83" s="1283">
        <v>76306</v>
      </c>
      <c r="H83" s="1333">
        <v>10919</v>
      </c>
      <c r="I83" s="933"/>
    </row>
    <row r="84" spans="1:9" s="30" customFormat="1" ht="12" thickBot="1" x14ac:dyDescent="0.35">
      <c r="A84" s="1271" t="s">
        <v>479</v>
      </c>
      <c r="B84" s="1334" t="s">
        <v>575</v>
      </c>
      <c r="C84" s="1481">
        <f t="shared" ref="C84:H84" si="5">SUM(C69:C83)</f>
        <v>5508211</v>
      </c>
      <c r="D84" s="1482">
        <f t="shared" si="5"/>
        <v>266298</v>
      </c>
      <c r="E84" s="1481">
        <f t="shared" si="5"/>
        <v>4212535</v>
      </c>
      <c r="F84" s="1481">
        <f t="shared" si="5"/>
        <v>1029378</v>
      </c>
      <c r="G84" s="1481">
        <f t="shared" si="5"/>
        <v>1755796</v>
      </c>
      <c r="H84" s="1483">
        <f t="shared" si="5"/>
        <v>137837</v>
      </c>
      <c r="I84" s="933"/>
    </row>
    <row r="85" spans="1:9" s="413" customFormat="1" x14ac:dyDescent="0.3">
      <c r="A85" s="1478" t="s">
        <v>479</v>
      </c>
      <c r="B85" s="366" t="s">
        <v>488</v>
      </c>
      <c r="C85" s="77">
        <v>3639118</v>
      </c>
      <c r="D85" s="1484">
        <v>177812</v>
      </c>
      <c r="E85" s="77">
        <v>2780020</v>
      </c>
      <c r="F85" s="77">
        <v>681286</v>
      </c>
      <c r="G85" s="77">
        <v>1127605</v>
      </c>
      <c r="H85" s="77">
        <v>83286</v>
      </c>
      <c r="I85" s="933"/>
    </row>
    <row r="86" spans="1:9" s="413" customFormat="1" x14ac:dyDescent="0.3">
      <c r="A86" s="1242"/>
      <c r="B86" s="366" t="s">
        <v>455</v>
      </c>
      <c r="C86" s="77">
        <v>4585392</v>
      </c>
      <c r="D86" s="77">
        <v>301921</v>
      </c>
      <c r="E86" s="77">
        <v>3354176</v>
      </c>
      <c r="F86" s="77">
        <v>929295</v>
      </c>
      <c r="G86" s="77">
        <v>1660642</v>
      </c>
      <c r="H86" s="77">
        <v>134994</v>
      </c>
      <c r="I86" s="933"/>
    </row>
    <row r="87" spans="1:9" s="413" customFormat="1" x14ac:dyDescent="0.3">
      <c r="A87" s="416"/>
      <c r="B87" s="407" t="s">
        <v>417</v>
      </c>
      <c r="C87" s="411">
        <v>3854693</v>
      </c>
      <c r="D87" s="411">
        <v>332777</v>
      </c>
      <c r="E87" s="411">
        <v>2715090</v>
      </c>
      <c r="F87" s="411">
        <v>807131</v>
      </c>
      <c r="G87" s="411">
        <v>1577364</v>
      </c>
      <c r="H87" s="410">
        <v>114862</v>
      </c>
    </row>
    <row r="88" spans="1:9" s="413" customFormat="1" x14ac:dyDescent="0.3">
      <c r="A88" s="416"/>
      <c r="B88" s="407" t="s">
        <v>371</v>
      </c>
      <c r="C88" s="411">
        <v>3550719</v>
      </c>
      <c r="D88" s="411">
        <v>643820</v>
      </c>
      <c r="E88" s="411">
        <v>2193969</v>
      </c>
      <c r="F88" s="411">
        <v>773577</v>
      </c>
      <c r="G88" s="411">
        <v>1464913</v>
      </c>
      <c r="H88" s="410">
        <v>122623</v>
      </c>
    </row>
    <row r="89" spans="1:9" s="413" customFormat="1" x14ac:dyDescent="0.3">
      <c r="A89" s="416"/>
      <c r="B89" s="407" t="s">
        <v>337</v>
      </c>
      <c r="C89" s="411">
        <v>3398673</v>
      </c>
      <c r="D89" s="411">
        <v>455295</v>
      </c>
      <c r="E89" s="411">
        <v>2298592</v>
      </c>
      <c r="F89" s="411">
        <v>644786</v>
      </c>
      <c r="G89" s="411">
        <v>1418710</v>
      </c>
      <c r="H89" s="410">
        <v>146527</v>
      </c>
    </row>
    <row r="90" spans="1:9" s="413" customFormat="1" x14ac:dyDescent="0.3">
      <c r="A90" s="416"/>
      <c r="B90" s="407" t="s">
        <v>309</v>
      </c>
      <c r="C90" s="411">
        <v>3110317</v>
      </c>
      <c r="D90" s="411">
        <v>511437</v>
      </c>
      <c r="E90" s="411">
        <v>2174135</v>
      </c>
      <c r="F90" s="411">
        <v>397471</v>
      </c>
      <c r="G90" s="411">
        <v>1382728</v>
      </c>
      <c r="H90" s="410">
        <v>102141</v>
      </c>
    </row>
    <row r="91" spans="1:9" s="345" customFormat="1" ht="12" thickBot="1" x14ac:dyDescent="0.35">
      <c r="A91" s="643"/>
      <c r="B91" s="698" t="s">
        <v>133</v>
      </c>
      <c r="C91" s="627">
        <v>3073862</v>
      </c>
      <c r="D91" s="627">
        <v>591608</v>
      </c>
      <c r="E91" s="627">
        <v>2095824</v>
      </c>
      <c r="F91" s="627">
        <v>393521</v>
      </c>
      <c r="G91" s="627">
        <v>1409139</v>
      </c>
      <c r="H91" s="628">
        <v>87619</v>
      </c>
    </row>
    <row r="92" spans="1:9" x14ac:dyDescent="0.3">
      <c r="A92" s="1278" t="s">
        <v>566</v>
      </c>
    </row>
    <row r="93" spans="1:9" s="413" customFormat="1" x14ac:dyDescent="0.3">
      <c r="A93" s="1280"/>
    </row>
    <row r="94" spans="1:9" s="413" customFormat="1" x14ac:dyDescent="0.3">
      <c r="A94" s="1280" t="s">
        <v>570</v>
      </c>
    </row>
    <row r="95" spans="1:9" s="413" customFormat="1" x14ac:dyDescent="0.3">
      <c r="A95" s="1278" t="s">
        <v>571</v>
      </c>
    </row>
    <row r="96" spans="1:9" s="413" customFormat="1" x14ac:dyDescent="0.3">
      <c r="A96" s="1280" t="s">
        <v>569</v>
      </c>
      <c r="E96" s="413" t="s">
        <v>108</v>
      </c>
    </row>
    <row r="97" spans="1:18" s="413" customFormat="1" x14ac:dyDescent="0.3">
      <c r="A97" s="5"/>
    </row>
    <row r="98" spans="1:18" x14ac:dyDescent="0.3">
      <c r="J98" s="413"/>
      <c r="K98" s="413"/>
      <c r="L98" s="413"/>
      <c r="M98" s="413"/>
      <c r="N98" s="413"/>
      <c r="O98" s="413"/>
      <c r="P98" s="413"/>
      <c r="Q98" s="413"/>
      <c r="R98" s="413"/>
    </row>
    <row r="99" spans="1:18" ht="12.9" thickBot="1" x14ac:dyDescent="0.35">
      <c r="A99" s="86" t="s">
        <v>457</v>
      </c>
      <c r="B99" s="86"/>
      <c r="C99" s="86"/>
      <c r="D99" s="86"/>
      <c r="E99" s="86"/>
      <c r="F99" s="86"/>
      <c r="G99" s="86"/>
      <c r="H99" s="86"/>
      <c r="J99" s="413"/>
      <c r="K99" s="413"/>
      <c r="L99" s="413"/>
      <c r="M99" s="413"/>
      <c r="N99" s="413"/>
      <c r="O99" s="413"/>
      <c r="P99" s="413"/>
      <c r="Q99" s="413"/>
      <c r="R99" s="413"/>
    </row>
    <row r="100" spans="1:18" ht="69.900000000000006" thickBot="1" x14ac:dyDescent="0.35">
      <c r="A100" s="65" t="s">
        <v>2</v>
      </c>
      <c r="B100" s="87" t="s">
        <v>3</v>
      </c>
      <c r="C100" s="88" t="s">
        <v>121</v>
      </c>
      <c r="D100" s="89" t="s">
        <v>118</v>
      </c>
      <c r="E100" s="90" t="s">
        <v>493</v>
      </c>
      <c r="F100" s="91" t="s">
        <v>494</v>
      </c>
      <c r="G100" s="89" t="s">
        <v>122</v>
      </c>
      <c r="H100" s="92" t="s">
        <v>52</v>
      </c>
      <c r="J100" s="413"/>
      <c r="K100" s="413" t="s">
        <v>108</v>
      </c>
      <c r="L100" s="413"/>
      <c r="M100" s="413"/>
      <c r="N100" s="413"/>
      <c r="O100" s="413"/>
      <c r="P100" s="413"/>
      <c r="Q100" s="413"/>
      <c r="R100" s="413"/>
    </row>
    <row r="101" spans="1:18" x14ac:dyDescent="0.3">
      <c r="A101" s="69">
        <v>1</v>
      </c>
      <c r="B101" s="26" t="s">
        <v>14</v>
      </c>
      <c r="C101" s="1328">
        <f>D101+E101+F101</f>
        <v>14125</v>
      </c>
      <c r="D101" s="1281">
        <v>5119</v>
      </c>
      <c r="E101" s="1281">
        <v>4368</v>
      </c>
      <c r="F101" s="1281">
        <v>4638</v>
      </c>
      <c r="G101" s="1281">
        <v>19377</v>
      </c>
      <c r="H101" s="1331">
        <v>0</v>
      </c>
      <c r="J101" s="413"/>
      <c r="K101" s="413"/>
      <c r="L101" s="413"/>
      <c r="M101" s="413"/>
      <c r="N101" s="413"/>
      <c r="O101" s="413"/>
      <c r="P101" s="413"/>
      <c r="Q101" s="413"/>
      <c r="R101" s="413"/>
    </row>
    <row r="102" spans="1:18" x14ac:dyDescent="0.3">
      <c r="A102" s="70">
        <v>2</v>
      </c>
      <c r="B102" s="24" t="s">
        <v>15</v>
      </c>
      <c r="C102" s="1329">
        <f>D102+E102+F102</f>
        <v>264255</v>
      </c>
      <c r="D102" s="1282">
        <v>1515</v>
      </c>
      <c r="E102" s="1282">
        <v>131370</v>
      </c>
      <c r="F102" s="1282">
        <v>131370</v>
      </c>
      <c r="G102" s="1282">
        <v>5588</v>
      </c>
      <c r="H102" s="1332">
        <v>0</v>
      </c>
      <c r="J102" s="413"/>
      <c r="K102" s="413"/>
      <c r="L102" s="413"/>
      <c r="M102" s="413"/>
      <c r="N102" s="413"/>
      <c r="O102" s="413"/>
      <c r="P102" s="413"/>
      <c r="Q102" s="413"/>
      <c r="R102" s="413"/>
    </row>
    <row r="103" spans="1:18" x14ac:dyDescent="0.3">
      <c r="A103" s="70">
        <v>3</v>
      </c>
      <c r="B103" s="24" t="s">
        <v>16</v>
      </c>
      <c r="C103" s="1329">
        <f t="shared" ref="C103:C114" si="6">D103+E103+F103</f>
        <v>144632</v>
      </c>
      <c r="D103" s="1282">
        <v>6108</v>
      </c>
      <c r="E103" s="1282">
        <v>69262</v>
      </c>
      <c r="F103" s="1282">
        <v>69262</v>
      </c>
      <c r="G103" s="1282">
        <v>7021</v>
      </c>
      <c r="H103" s="1332">
        <v>0</v>
      </c>
      <c r="J103" s="413"/>
      <c r="K103" s="413"/>
      <c r="L103" s="413"/>
      <c r="M103" s="413"/>
      <c r="N103" s="413"/>
      <c r="O103" s="413"/>
      <c r="P103" s="413"/>
      <c r="Q103" s="413"/>
      <c r="R103" s="413"/>
    </row>
    <row r="104" spans="1:18" x14ac:dyDescent="0.3">
      <c r="A104" s="70">
        <v>4</v>
      </c>
      <c r="B104" s="24" t="s">
        <v>17</v>
      </c>
      <c r="C104" s="1329">
        <f t="shared" si="6"/>
        <v>96186</v>
      </c>
      <c r="D104" s="1282">
        <v>3004</v>
      </c>
      <c r="E104" s="1282">
        <v>46591</v>
      </c>
      <c r="F104" s="1282">
        <v>46591</v>
      </c>
      <c r="G104" s="1282">
        <v>3345</v>
      </c>
      <c r="H104" s="1332">
        <v>0</v>
      </c>
      <c r="J104" s="413"/>
      <c r="K104" s="413"/>
      <c r="L104" s="413"/>
      <c r="M104" s="413"/>
      <c r="N104" s="413"/>
      <c r="O104" s="413"/>
      <c r="P104" s="413"/>
      <c r="Q104" s="413"/>
      <c r="R104" s="413"/>
    </row>
    <row r="105" spans="1:18" x14ac:dyDescent="0.3">
      <c r="A105" s="70">
        <v>5</v>
      </c>
      <c r="B105" s="24" t="s">
        <v>18</v>
      </c>
      <c r="C105" s="1329">
        <f t="shared" si="6"/>
        <v>242382</v>
      </c>
      <c r="D105" s="1282">
        <v>7050</v>
      </c>
      <c r="E105" s="1282">
        <v>117666</v>
      </c>
      <c r="F105" s="1282">
        <v>117666</v>
      </c>
      <c r="G105" s="1282">
        <v>24180</v>
      </c>
      <c r="H105" s="1332">
        <v>0</v>
      </c>
      <c r="J105" s="413"/>
      <c r="K105" s="413"/>
      <c r="L105" s="413"/>
      <c r="M105" s="413"/>
      <c r="N105" s="413"/>
      <c r="O105" s="413"/>
      <c r="P105" s="413"/>
      <c r="Q105" s="413"/>
      <c r="R105" s="413"/>
    </row>
    <row r="106" spans="1:18" x14ac:dyDescent="0.3">
      <c r="A106" s="71">
        <v>6</v>
      </c>
      <c r="B106" s="26" t="s">
        <v>19</v>
      </c>
      <c r="C106" s="1329">
        <f t="shared" si="6"/>
        <v>199035</v>
      </c>
      <c r="D106" s="1282">
        <v>9427</v>
      </c>
      <c r="E106" s="1282">
        <v>94804</v>
      </c>
      <c r="F106" s="1282">
        <v>94804</v>
      </c>
      <c r="G106" s="1282">
        <v>25442</v>
      </c>
      <c r="H106" s="1332">
        <v>0</v>
      </c>
      <c r="J106" s="413"/>
      <c r="K106" s="413"/>
      <c r="L106" s="413"/>
      <c r="M106" s="413"/>
      <c r="N106" s="413"/>
      <c r="O106" s="413"/>
      <c r="P106" s="413"/>
      <c r="Q106" s="413"/>
      <c r="R106" s="413"/>
    </row>
    <row r="107" spans="1:18" x14ac:dyDescent="0.3">
      <c r="A107" s="71">
        <v>7</v>
      </c>
      <c r="B107" s="26" t="s">
        <v>20</v>
      </c>
      <c r="C107" s="1329">
        <f t="shared" si="6"/>
        <v>323922</v>
      </c>
      <c r="D107" s="1282">
        <v>8640</v>
      </c>
      <c r="E107" s="1282">
        <v>157641</v>
      </c>
      <c r="F107" s="1282">
        <v>157641</v>
      </c>
      <c r="G107" s="1282">
        <v>32892</v>
      </c>
      <c r="H107" s="1332">
        <v>0</v>
      </c>
      <c r="J107" s="413"/>
      <c r="K107" s="413"/>
      <c r="L107" s="413"/>
      <c r="M107" s="413"/>
      <c r="N107" s="413"/>
      <c r="O107" s="413"/>
      <c r="P107" s="413"/>
      <c r="Q107" s="413"/>
      <c r="R107" s="413"/>
    </row>
    <row r="108" spans="1:18" x14ac:dyDescent="0.3">
      <c r="A108" s="70">
        <v>8</v>
      </c>
      <c r="B108" s="24" t="s">
        <v>21</v>
      </c>
      <c r="C108" s="1329">
        <f t="shared" si="6"/>
        <v>387919</v>
      </c>
      <c r="D108" s="1282">
        <v>3701</v>
      </c>
      <c r="E108" s="1282">
        <v>192109</v>
      </c>
      <c r="F108" s="1282">
        <v>192109</v>
      </c>
      <c r="G108" s="1282">
        <v>13012</v>
      </c>
      <c r="H108" s="1332">
        <v>0</v>
      </c>
      <c r="J108" s="413"/>
      <c r="K108" s="413"/>
      <c r="L108" s="413"/>
      <c r="M108" s="413"/>
      <c r="N108" s="413"/>
      <c r="O108" s="413"/>
      <c r="P108" s="413"/>
      <c r="Q108" s="413"/>
      <c r="R108" s="413"/>
    </row>
    <row r="109" spans="1:18" x14ac:dyDescent="0.3">
      <c r="A109" s="70">
        <v>9</v>
      </c>
      <c r="B109" s="24" t="s">
        <v>22</v>
      </c>
      <c r="C109" s="1329">
        <f t="shared" si="6"/>
        <v>122914</v>
      </c>
      <c r="D109" s="1282">
        <v>3774</v>
      </c>
      <c r="E109" s="1282">
        <v>59570</v>
      </c>
      <c r="F109" s="1282">
        <v>59570</v>
      </c>
      <c r="G109" s="1282">
        <v>4281</v>
      </c>
      <c r="H109" s="1332">
        <v>0</v>
      </c>
      <c r="J109" s="413"/>
      <c r="K109" s="413"/>
      <c r="L109" s="413"/>
      <c r="M109" s="413"/>
      <c r="N109" s="413"/>
      <c r="O109" s="413"/>
      <c r="P109" s="413"/>
      <c r="Q109" s="413"/>
      <c r="R109" s="413"/>
    </row>
    <row r="110" spans="1:18" x14ac:dyDescent="0.3">
      <c r="A110" s="70">
        <v>10</v>
      </c>
      <c r="B110" s="24" t="s">
        <v>23</v>
      </c>
      <c r="C110" s="1329">
        <f t="shared" si="6"/>
        <v>223979</v>
      </c>
      <c r="D110" s="1282">
        <v>6381</v>
      </c>
      <c r="E110" s="1282">
        <v>108799</v>
      </c>
      <c r="F110" s="1282">
        <v>108799</v>
      </c>
      <c r="G110" s="1282">
        <v>13959</v>
      </c>
      <c r="H110" s="1332">
        <v>0</v>
      </c>
      <c r="J110" s="413"/>
      <c r="K110" s="413"/>
      <c r="L110" s="413"/>
      <c r="M110" s="413"/>
      <c r="N110" s="413"/>
      <c r="O110" s="413"/>
      <c r="P110" s="413"/>
      <c r="Q110" s="413"/>
      <c r="R110" s="413"/>
    </row>
    <row r="111" spans="1:18" x14ac:dyDescent="0.3">
      <c r="A111" s="71">
        <v>11</v>
      </c>
      <c r="B111" s="26" t="s">
        <v>24</v>
      </c>
      <c r="C111" s="1329">
        <f t="shared" si="6"/>
        <v>323823</v>
      </c>
      <c r="D111" s="1282">
        <v>7723</v>
      </c>
      <c r="E111" s="1282">
        <v>158050</v>
      </c>
      <c r="F111" s="1282">
        <v>158050</v>
      </c>
      <c r="G111" s="1282">
        <v>22676</v>
      </c>
      <c r="H111" s="1332">
        <v>0</v>
      </c>
      <c r="J111" s="413"/>
      <c r="K111" s="413"/>
      <c r="L111" s="413"/>
      <c r="M111" s="413"/>
      <c r="N111" s="413"/>
      <c r="O111" s="413"/>
      <c r="P111" s="413"/>
      <c r="Q111" s="413"/>
      <c r="R111" s="413"/>
    </row>
    <row r="112" spans="1:18" x14ac:dyDescent="0.3">
      <c r="A112" s="70">
        <v>12</v>
      </c>
      <c r="B112" s="24" t="s">
        <v>25</v>
      </c>
      <c r="C112" s="1329">
        <f t="shared" si="6"/>
        <v>333506</v>
      </c>
      <c r="D112" s="1282">
        <v>8804</v>
      </c>
      <c r="E112" s="1282">
        <v>162351</v>
      </c>
      <c r="F112" s="1282">
        <v>162351</v>
      </c>
      <c r="G112" s="1282">
        <v>37892</v>
      </c>
      <c r="H112" s="1332">
        <v>0</v>
      </c>
      <c r="J112" s="413"/>
      <c r="K112" s="413"/>
      <c r="L112" s="413"/>
      <c r="M112" s="413"/>
      <c r="N112" s="413"/>
      <c r="O112" s="413"/>
      <c r="P112" s="413"/>
      <c r="Q112" s="413"/>
      <c r="R112" s="413"/>
    </row>
    <row r="113" spans="1:18" x14ac:dyDescent="0.3">
      <c r="A113" s="70">
        <v>13</v>
      </c>
      <c r="B113" s="24" t="s">
        <v>26</v>
      </c>
      <c r="C113" s="1329">
        <f t="shared" si="6"/>
        <v>153661</v>
      </c>
      <c r="D113" s="1282">
        <v>10427</v>
      </c>
      <c r="E113" s="1282">
        <v>71617</v>
      </c>
      <c r="F113" s="1282">
        <v>71617</v>
      </c>
      <c r="G113" s="1282">
        <v>10345</v>
      </c>
      <c r="H113" s="1332">
        <v>0</v>
      </c>
      <c r="J113" s="413"/>
      <c r="K113" s="413"/>
      <c r="L113" s="413"/>
      <c r="M113" s="413"/>
      <c r="N113" s="413"/>
      <c r="O113" s="413"/>
      <c r="P113" s="413"/>
      <c r="Q113" s="413"/>
      <c r="R113" s="413"/>
    </row>
    <row r="114" spans="1:18" x14ac:dyDescent="0.3">
      <c r="A114" s="70">
        <v>14</v>
      </c>
      <c r="B114" s="24" t="s">
        <v>27</v>
      </c>
      <c r="C114" s="1329">
        <f t="shared" si="6"/>
        <v>87334</v>
      </c>
      <c r="D114" s="1282">
        <v>9722</v>
      </c>
      <c r="E114" s="1282">
        <v>38806</v>
      </c>
      <c r="F114" s="1282">
        <v>38806</v>
      </c>
      <c r="G114" s="1282">
        <v>20994</v>
      </c>
      <c r="H114" s="1332">
        <v>0</v>
      </c>
      <c r="J114" s="413"/>
      <c r="K114" s="413"/>
      <c r="L114" s="413"/>
      <c r="M114" s="413"/>
      <c r="N114" s="413"/>
      <c r="O114" s="413"/>
      <c r="P114" s="413"/>
      <c r="Q114" s="413"/>
      <c r="R114" s="413"/>
    </row>
    <row r="115" spans="1:18" s="413" customFormat="1" ht="13.5" customHeight="1" thickBot="1" x14ac:dyDescent="0.35">
      <c r="A115" s="76">
        <v>15</v>
      </c>
      <c r="B115" s="28" t="s">
        <v>28</v>
      </c>
      <c r="C115" s="1330">
        <f>D115+E115+F115</f>
        <v>498211</v>
      </c>
      <c r="D115" s="1283">
        <v>5865</v>
      </c>
      <c r="E115" s="1283">
        <v>246173</v>
      </c>
      <c r="F115" s="1283">
        <v>246173</v>
      </c>
      <c r="G115" s="1283">
        <v>15036</v>
      </c>
      <c r="H115" s="1333">
        <v>0</v>
      </c>
    </row>
    <row r="116" spans="1:18" ht="12" thickBot="1" x14ac:dyDescent="0.35">
      <c r="A116" s="1271" t="s">
        <v>479</v>
      </c>
      <c r="B116" s="404" t="s">
        <v>575</v>
      </c>
      <c r="C116" s="100">
        <f t="shared" ref="C116:H116" si="7">SUM(C101:C115)</f>
        <v>3415884</v>
      </c>
      <c r="D116" s="100">
        <f t="shared" si="7"/>
        <v>97260</v>
      </c>
      <c r="E116" s="100">
        <f t="shared" si="7"/>
        <v>1659177</v>
      </c>
      <c r="F116" s="100">
        <f t="shared" si="7"/>
        <v>1659447</v>
      </c>
      <c r="G116" s="100">
        <f t="shared" si="7"/>
        <v>256040</v>
      </c>
      <c r="H116" s="631">
        <f t="shared" si="7"/>
        <v>0</v>
      </c>
      <c r="J116" s="413"/>
      <c r="K116" s="413"/>
      <c r="L116" s="413"/>
      <c r="M116" s="413"/>
      <c r="N116" s="413"/>
      <c r="O116" s="413"/>
      <c r="P116" s="413"/>
      <c r="Q116" s="413"/>
      <c r="R116" s="413"/>
    </row>
    <row r="117" spans="1:18" s="413" customFormat="1" ht="12" thickBot="1" x14ac:dyDescent="0.35">
      <c r="A117" s="1497" t="s">
        <v>479</v>
      </c>
      <c r="B117" s="407" t="s">
        <v>488</v>
      </c>
      <c r="C117" s="411">
        <v>1790016</v>
      </c>
      <c r="D117" s="411">
        <v>59544</v>
      </c>
      <c r="E117" s="411">
        <v>1098321</v>
      </c>
      <c r="F117" s="411">
        <v>632151</v>
      </c>
      <c r="G117" s="411">
        <v>153546</v>
      </c>
      <c r="H117" s="629">
        <v>0</v>
      </c>
    </row>
    <row r="118" spans="1:18" s="413" customFormat="1" x14ac:dyDescent="0.3">
      <c r="B118" s="407" t="s">
        <v>455</v>
      </c>
      <c r="C118" s="411">
        <v>2013672</v>
      </c>
      <c r="D118" s="411">
        <v>89581</v>
      </c>
      <c r="E118" s="411">
        <v>1036546</v>
      </c>
      <c r="F118" s="411">
        <v>887545</v>
      </c>
      <c r="G118" s="411">
        <v>233286</v>
      </c>
      <c r="H118" s="629">
        <v>0</v>
      </c>
    </row>
    <row r="119" spans="1:18" s="413" customFormat="1" x14ac:dyDescent="0.3">
      <c r="A119" s="416"/>
      <c r="B119" s="407" t="s">
        <v>417</v>
      </c>
      <c r="C119" s="411">
        <v>1071034</v>
      </c>
      <c r="D119" s="411">
        <v>104117</v>
      </c>
      <c r="E119" s="411">
        <v>237743</v>
      </c>
      <c r="F119" s="411">
        <v>729174</v>
      </c>
      <c r="G119" s="411">
        <v>237195</v>
      </c>
      <c r="H119" s="629">
        <v>0</v>
      </c>
    </row>
    <row r="120" spans="1:18" s="413" customFormat="1" x14ac:dyDescent="0.3">
      <c r="A120" s="416"/>
      <c r="B120" s="407" t="s">
        <v>371</v>
      </c>
      <c r="C120" s="411">
        <v>772445.16</v>
      </c>
      <c r="D120" s="411">
        <v>114103</v>
      </c>
      <c r="E120" s="411">
        <v>20103</v>
      </c>
      <c r="F120" s="411">
        <v>638721.15999999992</v>
      </c>
      <c r="G120" s="411">
        <v>218007</v>
      </c>
      <c r="H120" s="629">
        <v>0</v>
      </c>
    </row>
    <row r="121" spans="1:18" s="413" customFormat="1" x14ac:dyDescent="0.3">
      <c r="A121" s="416"/>
      <c r="B121" s="407" t="s">
        <v>337</v>
      </c>
      <c r="C121" s="411">
        <v>740643</v>
      </c>
      <c r="D121" s="411">
        <v>143077</v>
      </c>
      <c r="E121" s="411">
        <v>417</v>
      </c>
      <c r="F121" s="411">
        <v>597149</v>
      </c>
      <c r="G121" s="411">
        <v>167553</v>
      </c>
      <c r="H121" s="629">
        <v>0</v>
      </c>
    </row>
    <row r="122" spans="1:18" s="413" customFormat="1" x14ac:dyDescent="0.3">
      <c r="A122" s="416"/>
      <c r="B122" s="407" t="s">
        <v>309</v>
      </c>
      <c r="C122" s="411">
        <v>560356</v>
      </c>
      <c r="D122" s="411">
        <v>151912</v>
      </c>
      <c r="E122" s="411">
        <v>5435</v>
      </c>
      <c r="F122" s="411">
        <v>362743.43</v>
      </c>
      <c r="G122" s="411">
        <v>154575</v>
      </c>
      <c r="H122" s="629">
        <v>0</v>
      </c>
    </row>
    <row r="123" spans="1:18" s="345" customFormat="1" ht="12" thickBot="1" x14ac:dyDescent="0.35">
      <c r="A123" s="643"/>
      <c r="B123" s="698" t="s">
        <v>133</v>
      </c>
      <c r="C123" s="627">
        <v>454113</v>
      </c>
      <c r="D123" s="627">
        <v>154717</v>
      </c>
      <c r="E123" s="627">
        <v>28567</v>
      </c>
      <c r="F123" s="627">
        <v>294677</v>
      </c>
      <c r="G123" s="627">
        <v>114241</v>
      </c>
      <c r="H123" s="630">
        <v>0</v>
      </c>
    </row>
    <row r="124" spans="1:18" x14ac:dyDescent="0.3">
      <c r="A124" s="1280" t="s">
        <v>506</v>
      </c>
    </row>
    <row r="125" spans="1:18" x14ac:dyDescent="0.3">
      <c r="A125" s="1280" t="s">
        <v>507</v>
      </c>
      <c r="K125" s="2" t="s">
        <v>108</v>
      </c>
    </row>
    <row r="126" spans="1:18" x14ac:dyDescent="0.3">
      <c r="A126" s="1278" t="s">
        <v>495</v>
      </c>
    </row>
  </sheetData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/>
  <dimension ref="A4:I78"/>
  <sheetViews>
    <sheetView showGridLines="0" zoomScaleNormal="100" workbookViewId="0">
      <selection activeCell="K4" sqref="K4"/>
    </sheetView>
  </sheetViews>
  <sheetFormatPr baseColWidth="10" defaultRowHeight="12.45" x14ac:dyDescent="0.3"/>
  <cols>
    <col min="2" max="2" width="19.4609375" customWidth="1"/>
    <col min="3" max="3" width="12.07421875" customWidth="1"/>
    <col min="7" max="7" width="14.53515625" customWidth="1"/>
  </cols>
  <sheetData>
    <row r="4" spans="1:9" ht="30" customHeight="1" thickBot="1" x14ac:dyDescent="0.35">
      <c r="A4" s="1689" t="s">
        <v>489</v>
      </c>
      <c r="B4" s="1689"/>
      <c r="C4" s="1689"/>
      <c r="D4" s="1689"/>
      <c r="E4" s="1689"/>
      <c r="F4" s="1689"/>
      <c r="G4" s="1689"/>
    </row>
    <row r="5" spans="1:9" ht="46.75" thickBot="1" x14ac:dyDescent="0.35">
      <c r="A5" s="969" t="s">
        <v>2</v>
      </c>
      <c r="B5" s="970" t="s">
        <v>3</v>
      </c>
      <c r="C5" s="88" t="s">
        <v>331</v>
      </c>
      <c r="D5" s="89" t="s">
        <v>326</v>
      </c>
      <c r="E5" s="90" t="s">
        <v>327</v>
      </c>
      <c r="F5" s="91" t="s">
        <v>328</v>
      </c>
      <c r="G5" s="632" t="s">
        <v>329</v>
      </c>
    </row>
    <row r="6" spans="1:9" x14ac:dyDescent="0.3">
      <c r="A6" s="180">
        <v>1</v>
      </c>
      <c r="B6" s="530" t="s">
        <v>14</v>
      </c>
      <c r="C6" s="1189">
        <v>191</v>
      </c>
      <c r="D6" s="1190">
        <v>1553</v>
      </c>
      <c r="E6" s="1191">
        <v>2815</v>
      </c>
      <c r="F6" s="971">
        <f>E6/D6</f>
        <v>1.8126207340631038</v>
      </c>
      <c r="G6" s="633">
        <f>E6/C6</f>
        <v>14.738219895287958</v>
      </c>
    </row>
    <row r="7" spans="1:9" x14ac:dyDescent="0.3">
      <c r="A7" s="70">
        <v>2</v>
      </c>
      <c r="B7" s="531" t="s">
        <v>15</v>
      </c>
      <c r="C7" s="1120">
        <v>279</v>
      </c>
      <c r="D7" s="1121">
        <v>2081</v>
      </c>
      <c r="E7" s="1122">
        <v>5940</v>
      </c>
      <c r="F7" s="972">
        <f t="shared" ref="F7:F20" si="0">E7/D7</f>
        <v>2.8543969245555023</v>
      </c>
      <c r="G7" s="634">
        <f t="shared" ref="G7:G20" si="1">E7/C7</f>
        <v>21.29032258064516</v>
      </c>
    </row>
    <row r="8" spans="1:9" x14ac:dyDescent="0.3">
      <c r="A8" s="70">
        <v>3</v>
      </c>
      <c r="B8" s="531" t="s">
        <v>16</v>
      </c>
      <c r="C8" s="1120">
        <v>40</v>
      </c>
      <c r="D8" s="1121">
        <v>80</v>
      </c>
      <c r="E8" s="1122">
        <v>319</v>
      </c>
      <c r="F8" s="972">
        <f t="shared" si="0"/>
        <v>3.9874999999999998</v>
      </c>
      <c r="G8" s="634">
        <f t="shared" si="1"/>
        <v>7.9749999999999996</v>
      </c>
    </row>
    <row r="9" spans="1:9" x14ac:dyDescent="0.3">
      <c r="A9" s="70">
        <v>4</v>
      </c>
      <c r="B9" s="531" t="s">
        <v>17</v>
      </c>
      <c r="C9" s="1120">
        <v>631</v>
      </c>
      <c r="D9" s="1121">
        <v>18783</v>
      </c>
      <c r="E9" s="1122">
        <v>9565</v>
      </c>
      <c r="F9" s="972">
        <f t="shared" si="0"/>
        <v>0.50923707607943358</v>
      </c>
      <c r="G9" s="634">
        <f t="shared" si="1"/>
        <v>15.158478605388273</v>
      </c>
      <c r="I9" t="s">
        <v>108</v>
      </c>
    </row>
    <row r="10" spans="1:9" x14ac:dyDescent="0.3">
      <c r="A10" s="70">
        <v>5</v>
      </c>
      <c r="B10" s="531" t="s">
        <v>352</v>
      </c>
      <c r="C10" s="1120">
        <v>88</v>
      </c>
      <c r="D10" s="1121">
        <v>1599</v>
      </c>
      <c r="E10" s="1122">
        <v>914</v>
      </c>
      <c r="F10" s="972">
        <f t="shared" si="0"/>
        <v>0.57160725453408379</v>
      </c>
      <c r="G10" s="634">
        <f t="shared" si="1"/>
        <v>10.386363636363637</v>
      </c>
    </row>
    <row r="11" spans="1:9" x14ac:dyDescent="0.3">
      <c r="A11" s="71">
        <v>6</v>
      </c>
      <c r="B11" s="532" t="s">
        <v>353</v>
      </c>
      <c r="C11" s="1120">
        <v>13</v>
      </c>
      <c r="D11" s="1121">
        <v>55</v>
      </c>
      <c r="E11" s="1122">
        <v>122</v>
      </c>
      <c r="F11" s="972">
        <f t="shared" si="0"/>
        <v>2.2181818181818183</v>
      </c>
      <c r="G11" s="634">
        <f t="shared" si="1"/>
        <v>9.384615384615385</v>
      </c>
    </row>
    <row r="12" spans="1:9" x14ac:dyDescent="0.3">
      <c r="A12" s="71">
        <v>7</v>
      </c>
      <c r="B12" s="532" t="s">
        <v>20</v>
      </c>
      <c r="C12" s="1120">
        <v>87</v>
      </c>
      <c r="D12" s="1121">
        <v>5749</v>
      </c>
      <c r="E12" s="1122">
        <v>2228</v>
      </c>
      <c r="F12" s="972">
        <f t="shared" si="0"/>
        <v>0.38754566011480257</v>
      </c>
      <c r="G12" s="634">
        <f t="shared" si="1"/>
        <v>25.609195402298852</v>
      </c>
    </row>
    <row r="13" spans="1:9" x14ac:dyDescent="0.3">
      <c r="A13" s="70">
        <v>8</v>
      </c>
      <c r="B13" s="531" t="s">
        <v>21</v>
      </c>
      <c r="C13" s="1120">
        <v>35</v>
      </c>
      <c r="D13" s="1121">
        <v>458</v>
      </c>
      <c r="E13" s="1122">
        <v>295</v>
      </c>
      <c r="F13" s="972">
        <f t="shared" si="0"/>
        <v>0.64410480349344978</v>
      </c>
      <c r="G13" s="634">
        <f t="shared" si="1"/>
        <v>8.4285714285714288</v>
      </c>
    </row>
    <row r="14" spans="1:9" x14ac:dyDescent="0.3">
      <c r="A14" s="70">
        <v>9</v>
      </c>
      <c r="B14" s="531" t="s">
        <v>354</v>
      </c>
      <c r="C14" s="1120">
        <v>232</v>
      </c>
      <c r="D14" s="1121">
        <v>696</v>
      </c>
      <c r="E14" s="1122">
        <v>1981</v>
      </c>
      <c r="F14" s="972">
        <f t="shared" si="0"/>
        <v>2.8462643678160919</v>
      </c>
      <c r="G14" s="634">
        <f t="shared" si="1"/>
        <v>8.5387931034482758</v>
      </c>
    </row>
    <row r="15" spans="1:9" x14ac:dyDescent="0.3">
      <c r="A15" s="70">
        <v>10</v>
      </c>
      <c r="B15" s="531" t="s">
        <v>355</v>
      </c>
      <c r="C15" s="1120">
        <v>73</v>
      </c>
      <c r="D15" s="1121">
        <v>1769</v>
      </c>
      <c r="E15" s="1122">
        <v>978</v>
      </c>
      <c r="F15" s="972">
        <f t="shared" si="0"/>
        <v>0.55285472018089321</v>
      </c>
      <c r="G15" s="634">
        <f t="shared" si="1"/>
        <v>13.397260273972602</v>
      </c>
    </row>
    <row r="16" spans="1:9" x14ac:dyDescent="0.3">
      <c r="A16" s="71">
        <v>11</v>
      </c>
      <c r="B16" s="532" t="s">
        <v>24</v>
      </c>
      <c r="C16" s="1120">
        <v>280</v>
      </c>
      <c r="D16" s="1121">
        <v>3986</v>
      </c>
      <c r="E16" s="1122">
        <v>4273</v>
      </c>
      <c r="F16" s="972">
        <f t="shared" si="0"/>
        <v>1.0720020070245861</v>
      </c>
      <c r="G16" s="634">
        <f t="shared" si="1"/>
        <v>15.260714285714286</v>
      </c>
    </row>
    <row r="17" spans="1:9" x14ac:dyDescent="0.3">
      <c r="A17" s="70">
        <v>12</v>
      </c>
      <c r="B17" s="531" t="s">
        <v>25</v>
      </c>
      <c r="C17" s="1120">
        <v>80</v>
      </c>
      <c r="D17" s="1121">
        <v>54</v>
      </c>
      <c r="E17" s="1122">
        <v>380</v>
      </c>
      <c r="F17" s="972">
        <f t="shared" si="0"/>
        <v>7.0370370370370372</v>
      </c>
      <c r="G17" s="634">
        <f t="shared" si="1"/>
        <v>4.75</v>
      </c>
    </row>
    <row r="18" spans="1:9" x14ac:dyDescent="0.3">
      <c r="A18" s="70">
        <v>13</v>
      </c>
      <c r="B18" s="531" t="s">
        <v>26</v>
      </c>
      <c r="C18" s="1120">
        <v>131</v>
      </c>
      <c r="D18" s="1121">
        <v>1986</v>
      </c>
      <c r="E18" s="1122">
        <v>2085</v>
      </c>
      <c r="F18" s="972">
        <f t="shared" si="0"/>
        <v>1.0498489425981874</v>
      </c>
      <c r="G18" s="634">
        <f t="shared" si="1"/>
        <v>15.916030534351146</v>
      </c>
    </row>
    <row r="19" spans="1:9" s="412" customFormat="1" x14ac:dyDescent="0.3">
      <c r="A19" s="70">
        <v>14</v>
      </c>
      <c r="B19" s="531" t="s">
        <v>27</v>
      </c>
      <c r="C19" s="1120">
        <v>270</v>
      </c>
      <c r="D19" s="1121">
        <v>4275</v>
      </c>
      <c r="E19" s="1122">
        <v>3659</v>
      </c>
      <c r="F19" s="972">
        <f t="shared" si="0"/>
        <v>0.85590643274853806</v>
      </c>
      <c r="G19" s="634">
        <f t="shared" si="1"/>
        <v>13.551851851851852</v>
      </c>
    </row>
    <row r="20" spans="1:9" s="412" customFormat="1" ht="12.9" thickBot="1" x14ac:dyDescent="0.35">
      <c r="A20" s="72">
        <v>15</v>
      </c>
      <c r="B20" s="533" t="s">
        <v>28</v>
      </c>
      <c r="C20" s="1192">
        <v>142</v>
      </c>
      <c r="D20" s="1193">
        <v>1546</v>
      </c>
      <c r="E20" s="1194">
        <v>1564</v>
      </c>
      <c r="F20" s="973">
        <f t="shared" si="0"/>
        <v>1.0116429495472186</v>
      </c>
      <c r="G20" s="729">
        <f t="shared" si="1"/>
        <v>11.014084507042254</v>
      </c>
    </row>
    <row r="21" spans="1:9" s="412" customFormat="1" x14ac:dyDescent="0.3">
      <c r="A21" s="976" t="s">
        <v>479</v>
      </c>
      <c r="B21" s="977" t="s">
        <v>575</v>
      </c>
      <c r="C21" s="855">
        <f t="shared" ref="C21:E21" si="2">SUM(C6:C20)</f>
        <v>2572</v>
      </c>
      <c r="D21" s="856">
        <f t="shared" si="2"/>
        <v>44670</v>
      </c>
      <c r="E21" s="715">
        <f t="shared" si="2"/>
        <v>37118</v>
      </c>
      <c r="F21" s="978">
        <f>E21/D21</f>
        <v>0.83093798970226107</v>
      </c>
      <c r="G21" s="979">
        <f>E21/C21</f>
        <v>14.431570762052877</v>
      </c>
    </row>
    <row r="22" spans="1:9" s="412" customFormat="1" x14ac:dyDescent="0.3">
      <c r="A22" s="71" t="s">
        <v>479</v>
      </c>
      <c r="B22" s="26" t="s">
        <v>488</v>
      </c>
      <c r="C22" s="1120">
        <v>1848</v>
      </c>
      <c r="D22" s="1121">
        <v>31201</v>
      </c>
      <c r="E22" s="1122">
        <v>24487</v>
      </c>
      <c r="F22" s="1123">
        <v>0.7848145892759848</v>
      </c>
      <c r="G22" s="1124">
        <v>13.250541125541126</v>
      </c>
    </row>
    <row r="23" spans="1:9" s="415" customFormat="1" x14ac:dyDescent="0.3">
      <c r="A23" s="71"/>
      <c r="B23" s="26" t="s">
        <v>455</v>
      </c>
      <c r="C23" s="1120">
        <v>3548</v>
      </c>
      <c r="D23" s="1121">
        <v>84927</v>
      </c>
      <c r="E23" s="1122">
        <v>49526</v>
      </c>
      <c r="F23" s="1123">
        <v>0.58315965476232534</v>
      </c>
      <c r="G23" s="1124">
        <v>13.958850056369785</v>
      </c>
    </row>
    <row r="24" spans="1:9" s="415" customFormat="1" x14ac:dyDescent="0.3">
      <c r="A24" s="71"/>
      <c r="B24" s="26" t="s">
        <v>447</v>
      </c>
      <c r="C24" s="1120">
        <v>2693</v>
      </c>
      <c r="D24" s="1121">
        <v>51751</v>
      </c>
      <c r="E24" s="1122">
        <v>32309</v>
      </c>
      <c r="F24" s="1123">
        <v>0.62431643832969408</v>
      </c>
      <c r="G24" s="1124">
        <v>11.997400668399555</v>
      </c>
    </row>
    <row r="25" spans="1:9" s="412" customFormat="1" x14ac:dyDescent="0.3">
      <c r="A25" s="71"/>
      <c r="B25" s="26" t="s">
        <v>417</v>
      </c>
      <c r="C25" s="1120">
        <v>3366</v>
      </c>
      <c r="D25" s="1121">
        <v>74595</v>
      </c>
      <c r="E25" s="1122">
        <v>53902</v>
      </c>
      <c r="F25" s="1123">
        <v>0.72259534821368721</v>
      </c>
      <c r="G25" s="1124">
        <v>16.013666072489602</v>
      </c>
    </row>
    <row r="26" spans="1:9" s="412" customFormat="1" x14ac:dyDescent="0.3">
      <c r="A26" s="71"/>
      <c r="B26" s="26" t="s">
        <v>371</v>
      </c>
      <c r="C26" s="964">
        <v>2810</v>
      </c>
      <c r="D26" s="963">
        <v>57828</v>
      </c>
      <c r="E26" s="965">
        <v>43583</v>
      </c>
      <c r="F26" s="672">
        <v>0.7536660441308709</v>
      </c>
      <c r="G26" s="634">
        <v>15.509964412811389</v>
      </c>
    </row>
    <row r="27" spans="1:9" s="412" customFormat="1" ht="12.9" thickBot="1" x14ac:dyDescent="0.35">
      <c r="A27" s="974"/>
      <c r="B27" s="93" t="s">
        <v>337</v>
      </c>
      <c r="C27" s="966">
        <v>2101</v>
      </c>
      <c r="D27" s="967">
        <v>46787</v>
      </c>
      <c r="E27" s="968">
        <v>31185</v>
      </c>
      <c r="F27" s="975">
        <v>0.66653130142988437</v>
      </c>
      <c r="G27" s="729">
        <f t="shared" ref="G27" si="3">E27/C27</f>
        <v>14.842931937172775</v>
      </c>
    </row>
    <row r="28" spans="1:9" x14ac:dyDescent="0.3">
      <c r="A28" t="s">
        <v>330</v>
      </c>
    </row>
    <row r="31" spans="1:9" x14ac:dyDescent="0.3">
      <c r="I31" t="s">
        <v>108</v>
      </c>
    </row>
    <row r="32" spans="1:9" ht="12.9" thickBot="1" x14ac:dyDescent="0.35">
      <c r="A32" s="1689" t="s">
        <v>490</v>
      </c>
      <c r="B32" s="1689"/>
      <c r="C32" s="1689"/>
      <c r="D32" s="1689"/>
      <c r="E32" s="1689"/>
      <c r="F32" s="1689"/>
      <c r="G32" s="1689"/>
    </row>
    <row r="33" spans="1:7" ht="46.75" thickBot="1" x14ac:dyDescent="0.35">
      <c r="A33" s="969" t="s">
        <v>2</v>
      </c>
      <c r="B33" s="970" t="s">
        <v>3</v>
      </c>
      <c r="C33" s="88" t="s">
        <v>487</v>
      </c>
      <c r="D33" s="89" t="s">
        <v>326</v>
      </c>
      <c r="E33" s="90" t="s">
        <v>327</v>
      </c>
      <c r="F33" s="91" t="s">
        <v>328</v>
      </c>
      <c r="G33" s="632" t="s">
        <v>511</v>
      </c>
    </row>
    <row r="34" spans="1:7" x14ac:dyDescent="0.3">
      <c r="A34" s="180">
        <v>1</v>
      </c>
      <c r="B34" s="530" t="s">
        <v>14</v>
      </c>
      <c r="C34" s="1189">
        <v>80</v>
      </c>
      <c r="D34" s="1190">
        <v>1892</v>
      </c>
      <c r="E34" s="1191">
        <v>614</v>
      </c>
      <c r="F34" s="971">
        <f>E34/D34</f>
        <v>0.32452431289640593</v>
      </c>
      <c r="G34" s="1340">
        <f>E34/C34</f>
        <v>7.6749999999999998</v>
      </c>
    </row>
    <row r="35" spans="1:7" x14ac:dyDescent="0.3">
      <c r="A35" s="70">
        <v>2</v>
      </c>
      <c r="B35" s="531" t="s">
        <v>15</v>
      </c>
      <c r="C35" s="1120">
        <v>65</v>
      </c>
      <c r="D35" s="1121">
        <v>775</v>
      </c>
      <c r="E35" s="1122">
        <v>306</v>
      </c>
      <c r="F35" s="972">
        <f t="shared" ref="F35:F48" si="4">E35/D35</f>
        <v>0.39483870967741935</v>
      </c>
      <c r="G35" s="1341">
        <f t="shared" ref="G35:G48" si="5">E35/C35</f>
        <v>4.7076923076923078</v>
      </c>
    </row>
    <row r="36" spans="1:7" x14ac:dyDescent="0.3">
      <c r="A36" s="70">
        <v>3</v>
      </c>
      <c r="B36" s="531" t="s">
        <v>16</v>
      </c>
      <c r="C36" s="1120">
        <v>43</v>
      </c>
      <c r="D36" s="1121">
        <v>590</v>
      </c>
      <c r="E36" s="1122">
        <v>313</v>
      </c>
      <c r="F36" s="972">
        <f t="shared" si="4"/>
        <v>0.53050847457627115</v>
      </c>
      <c r="G36" s="1341">
        <f t="shared" si="5"/>
        <v>7.2790697674418601</v>
      </c>
    </row>
    <row r="37" spans="1:7" x14ac:dyDescent="0.3">
      <c r="A37" s="70">
        <v>4</v>
      </c>
      <c r="B37" s="531" t="s">
        <v>17</v>
      </c>
      <c r="C37" s="1120">
        <v>49</v>
      </c>
      <c r="D37" s="1121">
        <v>1037</v>
      </c>
      <c r="E37" s="1122">
        <v>317</v>
      </c>
      <c r="F37" s="972">
        <f t="shared" si="4"/>
        <v>0.30568948891031822</v>
      </c>
      <c r="G37" s="1341">
        <f t="shared" si="5"/>
        <v>6.4693877551020407</v>
      </c>
    </row>
    <row r="38" spans="1:7" x14ac:dyDescent="0.3">
      <c r="A38" s="70">
        <v>5</v>
      </c>
      <c r="B38" s="531" t="s">
        <v>352</v>
      </c>
      <c r="C38" s="1120">
        <v>144</v>
      </c>
      <c r="D38" s="1121">
        <v>3125</v>
      </c>
      <c r="E38" s="1122">
        <v>1890</v>
      </c>
      <c r="F38" s="972">
        <f t="shared" si="4"/>
        <v>0.6048</v>
      </c>
      <c r="G38" s="1341">
        <f t="shared" si="5"/>
        <v>13.125</v>
      </c>
    </row>
    <row r="39" spans="1:7" x14ac:dyDescent="0.3">
      <c r="A39" s="71">
        <v>6</v>
      </c>
      <c r="B39" s="532" t="s">
        <v>353</v>
      </c>
      <c r="C39" s="1120">
        <v>15</v>
      </c>
      <c r="D39" s="1121">
        <v>176</v>
      </c>
      <c r="E39" s="1122">
        <v>52</v>
      </c>
      <c r="F39" s="972">
        <f t="shared" si="4"/>
        <v>0.29545454545454547</v>
      </c>
      <c r="G39" s="1341">
        <f t="shared" si="5"/>
        <v>3.4666666666666668</v>
      </c>
    </row>
    <row r="40" spans="1:7" x14ac:dyDescent="0.3">
      <c r="A40" s="71">
        <v>7</v>
      </c>
      <c r="B40" s="532" t="s">
        <v>20</v>
      </c>
      <c r="C40" s="1120">
        <v>97</v>
      </c>
      <c r="D40" s="1121">
        <v>2042</v>
      </c>
      <c r="E40" s="1122">
        <v>394</v>
      </c>
      <c r="F40" s="972">
        <f t="shared" si="4"/>
        <v>0.1929480901077375</v>
      </c>
      <c r="G40" s="1341">
        <f t="shared" si="5"/>
        <v>4.0618556701030926</v>
      </c>
    </row>
    <row r="41" spans="1:7" x14ac:dyDescent="0.3">
      <c r="A41" s="70">
        <v>8</v>
      </c>
      <c r="B41" s="531" t="s">
        <v>21</v>
      </c>
      <c r="C41" s="1120">
        <v>88</v>
      </c>
      <c r="D41" s="1121">
        <v>1781</v>
      </c>
      <c r="E41" s="1122">
        <v>507</v>
      </c>
      <c r="F41" s="972">
        <f t="shared" si="4"/>
        <v>0.28467153284671531</v>
      </c>
      <c r="G41" s="1341">
        <f t="shared" si="5"/>
        <v>5.7613636363636367</v>
      </c>
    </row>
    <row r="42" spans="1:7" x14ac:dyDescent="0.3">
      <c r="A42" s="70">
        <v>9</v>
      </c>
      <c r="B42" s="531" t="s">
        <v>354</v>
      </c>
      <c r="C42" s="1120">
        <v>82</v>
      </c>
      <c r="D42" s="1121">
        <v>1110</v>
      </c>
      <c r="E42" s="1122">
        <v>305</v>
      </c>
      <c r="F42" s="972">
        <f t="shared" si="4"/>
        <v>0.2747747747747748</v>
      </c>
      <c r="G42" s="1341">
        <f t="shared" si="5"/>
        <v>3.7195121951219514</v>
      </c>
    </row>
    <row r="43" spans="1:7" x14ac:dyDescent="0.3">
      <c r="A43" s="70">
        <v>10</v>
      </c>
      <c r="B43" s="531" t="s">
        <v>355</v>
      </c>
      <c r="C43" s="1120">
        <v>6</v>
      </c>
      <c r="D43" s="1121">
        <v>43</v>
      </c>
      <c r="E43" s="1122">
        <v>18</v>
      </c>
      <c r="F43" s="972">
        <f t="shared" si="4"/>
        <v>0.41860465116279072</v>
      </c>
      <c r="G43" s="1341">
        <f t="shared" si="5"/>
        <v>3</v>
      </c>
    </row>
    <row r="44" spans="1:7" x14ac:dyDescent="0.3">
      <c r="A44" s="71">
        <v>11</v>
      </c>
      <c r="B44" s="532" t="s">
        <v>24</v>
      </c>
      <c r="C44" s="1120">
        <v>57</v>
      </c>
      <c r="D44" s="1121">
        <v>1901</v>
      </c>
      <c r="E44" s="1122">
        <v>356</v>
      </c>
      <c r="F44" s="972">
        <f t="shared" si="4"/>
        <v>0.18726985796948975</v>
      </c>
      <c r="G44" s="1341">
        <f t="shared" si="5"/>
        <v>6.2456140350877192</v>
      </c>
    </row>
    <row r="45" spans="1:7" x14ac:dyDescent="0.3">
      <c r="A45" s="70">
        <v>12</v>
      </c>
      <c r="B45" s="531" t="s">
        <v>25</v>
      </c>
      <c r="C45" s="1120">
        <v>81</v>
      </c>
      <c r="D45" s="1121">
        <v>1308</v>
      </c>
      <c r="E45" s="1122">
        <v>753</v>
      </c>
      <c r="F45" s="972">
        <f t="shared" si="4"/>
        <v>0.57568807339449546</v>
      </c>
      <c r="G45" s="1341">
        <f t="shared" si="5"/>
        <v>9.2962962962962958</v>
      </c>
    </row>
    <row r="46" spans="1:7" x14ac:dyDescent="0.3">
      <c r="A46" s="70">
        <v>13</v>
      </c>
      <c r="B46" s="531" t="s">
        <v>26</v>
      </c>
      <c r="C46" s="1120">
        <v>84</v>
      </c>
      <c r="D46" s="1121">
        <v>990</v>
      </c>
      <c r="E46" s="1122">
        <v>551</v>
      </c>
      <c r="F46" s="972">
        <f t="shared" si="4"/>
        <v>0.5565656565656566</v>
      </c>
      <c r="G46" s="1341">
        <f t="shared" si="5"/>
        <v>6.5595238095238093</v>
      </c>
    </row>
    <row r="47" spans="1:7" x14ac:dyDescent="0.3">
      <c r="A47" s="70">
        <v>14</v>
      </c>
      <c r="B47" s="531" t="s">
        <v>27</v>
      </c>
      <c r="C47" s="1120">
        <v>83</v>
      </c>
      <c r="D47" s="1121">
        <v>764</v>
      </c>
      <c r="E47" s="1122">
        <v>369</v>
      </c>
      <c r="F47" s="972">
        <f t="shared" si="4"/>
        <v>0.48298429319371727</v>
      </c>
      <c r="G47" s="1341">
        <f t="shared" si="5"/>
        <v>4.4457831325301207</v>
      </c>
    </row>
    <row r="48" spans="1:7" ht="12.9" thickBot="1" x14ac:dyDescent="0.35">
      <c r="A48" s="72">
        <v>15</v>
      </c>
      <c r="B48" s="533" t="s">
        <v>28</v>
      </c>
      <c r="C48" s="1192">
        <v>76</v>
      </c>
      <c r="D48" s="1193">
        <v>1358</v>
      </c>
      <c r="E48" s="1194">
        <v>426</v>
      </c>
      <c r="F48" s="973">
        <f t="shared" si="4"/>
        <v>0.31369661266568483</v>
      </c>
      <c r="G48" s="1342">
        <f t="shared" si="5"/>
        <v>5.6052631578947372</v>
      </c>
    </row>
    <row r="49" spans="1:8" ht="12.9" thickBot="1" x14ac:dyDescent="0.35">
      <c r="A49" s="976" t="s">
        <v>479</v>
      </c>
      <c r="B49" s="977" t="s">
        <v>488</v>
      </c>
      <c r="C49" s="855">
        <f t="shared" ref="C49:E49" si="6">SUM(C34:C48)</f>
        <v>1050</v>
      </c>
      <c r="D49" s="856">
        <f t="shared" si="6"/>
        <v>18892</v>
      </c>
      <c r="E49" s="715">
        <f t="shared" si="6"/>
        <v>7171</v>
      </c>
      <c r="F49" s="978">
        <f>E49/D49</f>
        <v>0.37957865763286047</v>
      </c>
      <c r="G49" s="1339">
        <f>E49/C49</f>
        <v>6.8295238095238098</v>
      </c>
      <c r="H49" s="412"/>
    </row>
    <row r="50" spans="1:8" x14ac:dyDescent="0.3">
      <c r="A50" s="71"/>
      <c r="B50" s="26" t="s">
        <v>455</v>
      </c>
      <c r="C50" s="1120">
        <v>392</v>
      </c>
      <c r="D50" s="1121">
        <v>3420</v>
      </c>
      <c r="E50" s="1122">
        <v>891</v>
      </c>
      <c r="F50" s="978">
        <f>E50/D50</f>
        <v>0.26052631578947366</v>
      </c>
      <c r="G50" s="1339">
        <f>E50/C50</f>
        <v>2.2729591836734695</v>
      </c>
    </row>
    <row r="54" spans="1:8" ht="30.75" customHeight="1" thickBot="1" x14ac:dyDescent="0.35">
      <c r="A54" s="1689" t="s">
        <v>491</v>
      </c>
      <c r="B54" s="1689"/>
      <c r="C54" s="1689"/>
      <c r="D54" s="1689"/>
      <c r="E54" s="1689"/>
      <c r="F54" s="1689"/>
      <c r="G54" s="1689"/>
    </row>
    <row r="55" spans="1:8" ht="46.75" thickBot="1" x14ac:dyDescent="0.35">
      <c r="A55" s="969" t="s">
        <v>2</v>
      </c>
      <c r="B55" s="970" t="s">
        <v>3</v>
      </c>
      <c r="C55" s="88" t="s">
        <v>492</v>
      </c>
      <c r="D55" s="89" t="s">
        <v>530</v>
      </c>
      <c r="E55" s="90" t="s">
        <v>531</v>
      </c>
      <c r="F55" s="91" t="s">
        <v>328</v>
      </c>
      <c r="G55" s="632" t="s">
        <v>329</v>
      </c>
    </row>
    <row r="56" spans="1:8" x14ac:dyDescent="0.3">
      <c r="A56" s="180">
        <v>1</v>
      </c>
      <c r="B56" s="530" t="s">
        <v>14</v>
      </c>
      <c r="C56" s="1189">
        <v>262</v>
      </c>
      <c r="D56" s="1190">
        <v>0</v>
      </c>
      <c r="E56" s="1191">
        <v>0</v>
      </c>
      <c r="F56" s="971" t="e">
        <f>E56/D56</f>
        <v>#DIV/0!</v>
      </c>
      <c r="G56" s="633">
        <f>E56/C56</f>
        <v>0</v>
      </c>
    </row>
    <row r="57" spans="1:8" x14ac:dyDescent="0.3">
      <c r="A57" s="70">
        <v>2</v>
      </c>
      <c r="B57" s="531" t="s">
        <v>15</v>
      </c>
      <c r="C57" s="1120">
        <v>8</v>
      </c>
      <c r="D57" s="1121">
        <v>6</v>
      </c>
      <c r="E57" s="1122">
        <v>10</v>
      </c>
      <c r="F57" s="972">
        <f t="shared" ref="F57:F70" si="7">E57/D57</f>
        <v>1.6666666666666667</v>
      </c>
      <c r="G57" s="634">
        <f t="shared" ref="G57:G70" si="8">E57/C57</f>
        <v>1.25</v>
      </c>
    </row>
    <row r="58" spans="1:8" x14ac:dyDescent="0.3">
      <c r="A58" s="70">
        <v>3</v>
      </c>
      <c r="B58" s="531" t="s">
        <v>16</v>
      </c>
      <c r="C58" s="1120">
        <v>273</v>
      </c>
      <c r="D58" s="1121">
        <v>0</v>
      </c>
      <c r="E58" s="1122">
        <v>1386</v>
      </c>
      <c r="F58" s="972" t="e">
        <f t="shared" si="7"/>
        <v>#DIV/0!</v>
      </c>
      <c r="G58" s="634">
        <f t="shared" si="8"/>
        <v>5.0769230769230766</v>
      </c>
    </row>
    <row r="59" spans="1:8" x14ac:dyDescent="0.3">
      <c r="A59" s="70">
        <v>4</v>
      </c>
      <c r="B59" s="531" t="s">
        <v>17</v>
      </c>
      <c r="C59" s="1120">
        <v>4</v>
      </c>
      <c r="D59" s="1121">
        <v>9</v>
      </c>
      <c r="E59" s="1122">
        <v>3</v>
      </c>
      <c r="F59" s="972">
        <f t="shared" si="7"/>
        <v>0.33333333333333331</v>
      </c>
      <c r="G59" s="634">
        <f t="shared" si="8"/>
        <v>0.75</v>
      </c>
    </row>
    <row r="60" spans="1:8" x14ac:dyDescent="0.3">
      <c r="A60" s="70">
        <v>5</v>
      </c>
      <c r="B60" s="531" t="s">
        <v>352</v>
      </c>
      <c r="C60" s="1120">
        <v>248</v>
      </c>
      <c r="D60" s="1121">
        <v>373</v>
      </c>
      <c r="E60" s="1122">
        <v>101</v>
      </c>
      <c r="F60" s="972">
        <f t="shared" si="7"/>
        <v>0.27077747989276141</v>
      </c>
      <c r="G60" s="634">
        <f t="shared" si="8"/>
        <v>0.40725806451612906</v>
      </c>
    </row>
    <row r="61" spans="1:8" x14ac:dyDescent="0.3">
      <c r="A61" s="71">
        <v>6</v>
      </c>
      <c r="B61" s="532" t="s">
        <v>353</v>
      </c>
      <c r="C61" s="1120">
        <v>357</v>
      </c>
      <c r="D61" s="1121">
        <v>3</v>
      </c>
      <c r="E61" s="1122">
        <v>2449</v>
      </c>
      <c r="F61" s="972">
        <f t="shared" si="7"/>
        <v>816.33333333333337</v>
      </c>
      <c r="G61" s="634">
        <f t="shared" si="8"/>
        <v>6.859943977591036</v>
      </c>
    </row>
    <row r="62" spans="1:8" x14ac:dyDescent="0.3">
      <c r="A62" s="71">
        <v>7</v>
      </c>
      <c r="B62" s="532" t="s">
        <v>20</v>
      </c>
      <c r="C62" s="1120">
        <v>642</v>
      </c>
      <c r="D62" s="1121">
        <v>3638</v>
      </c>
      <c r="E62" s="1122">
        <v>5532</v>
      </c>
      <c r="F62" s="972">
        <f t="shared" si="7"/>
        <v>1.5206157229246839</v>
      </c>
      <c r="G62" s="634">
        <f t="shared" si="8"/>
        <v>8.6168224299065415</v>
      </c>
    </row>
    <row r="63" spans="1:8" x14ac:dyDescent="0.3">
      <c r="A63" s="70">
        <v>8</v>
      </c>
      <c r="B63" s="531" t="s">
        <v>21</v>
      </c>
      <c r="C63" s="1120">
        <v>316</v>
      </c>
      <c r="D63" s="1121">
        <v>192</v>
      </c>
      <c r="E63" s="1122">
        <v>4033</v>
      </c>
      <c r="F63" s="972">
        <f t="shared" si="7"/>
        <v>21.005208333333332</v>
      </c>
      <c r="G63" s="634">
        <f t="shared" si="8"/>
        <v>12.762658227848101</v>
      </c>
    </row>
    <row r="64" spans="1:8" x14ac:dyDescent="0.3">
      <c r="A64" s="70">
        <v>9</v>
      </c>
      <c r="B64" s="531" t="s">
        <v>354</v>
      </c>
      <c r="C64" s="1120">
        <v>87</v>
      </c>
      <c r="D64" s="1121">
        <v>45</v>
      </c>
      <c r="E64" s="1122">
        <v>0</v>
      </c>
      <c r="F64" s="972">
        <f t="shared" si="7"/>
        <v>0</v>
      </c>
      <c r="G64" s="634">
        <f t="shared" si="8"/>
        <v>0</v>
      </c>
    </row>
    <row r="65" spans="1:8" x14ac:dyDescent="0.3">
      <c r="A65" s="70">
        <v>10</v>
      </c>
      <c r="B65" s="531" t="s">
        <v>355</v>
      </c>
      <c r="C65" s="1120">
        <v>93</v>
      </c>
      <c r="D65" s="1121">
        <v>0</v>
      </c>
      <c r="E65" s="1122">
        <v>0</v>
      </c>
      <c r="F65" s="972" t="e">
        <f t="shared" si="7"/>
        <v>#DIV/0!</v>
      </c>
      <c r="G65" s="634">
        <f t="shared" si="8"/>
        <v>0</v>
      </c>
    </row>
    <row r="66" spans="1:8" x14ac:dyDescent="0.3">
      <c r="A66" s="71">
        <v>11</v>
      </c>
      <c r="B66" s="532" t="s">
        <v>24</v>
      </c>
      <c r="C66" s="1120">
        <v>3</v>
      </c>
      <c r="D66" s="1121">
        <v>0</v>
      </c>
      <c r="E66" s="1122">
        <v>0</v>
      </c>
      <c r="F66" s="972" t="e">
        <f t="shared" si="7"/>
        <v>#DIV/0!</v>
      </c>
      <c r="G66" s="634">
        <f t="shared" si="8"/>
        <v>0</v>
      </c>
    </row>
    <row r="67" spans="1:8" x14ac:dyDescent="0.3">
      <c r="A67" s="70">
        <v>12</v>
      </c>
      <c r="B67" s="531" t="s">
        <v>25</v>
      </c>
      <c r="C67" s="1120">
        <v>544</v>
      </c>
      <c r="D67" s="1121">
        <v>3302</v>
      </c>
      <c r="E67" s="1122">
        <v>3122</v>
      </c>
      <c r="F67" s="972">
        <f t="shared" si="7"/>
        <v>0.94548758328285887</v>
      </c>
      <c r="G67" s="634">
        <f t="shared" si="8"/>
        <v>5.7389705882352944</v>
      </c>
    </row>
    <row r="68" spans="1:8" x14ac:dyDescent="0.3">
      <c r="A68" s="70">
        <v>13</v>
      </c>
      <c r="B68" s="531" t="s">
        <v>26</v>
      </c>
      <c r="C68" s="1120">
        <v>467</v>
      </c>
      <c r="D68" s="1121">
        <v>9</v>
      </c>
      <c r="E68" s="1122">
        <v>3565</v>
      </c>
      <c r="F68" s="972">
        <f t="shared" si="7"/>
        <v>396.11111111111109</v>
      </c>
      <c r="G68" s="634">
        <f t="shared" si="8"/>
        <v>7.6338329764453965</v>
      </c>
    </row>
    <row r="69" spans="1:8" x14ac:dyDescent="0.3">
      <c r="A69" s="70">
        <v>14</v>
      </c>
      <c r="B69" s="531" t="s">
        <v>27</v>
      </c>
      <c r="C69" s="1120">
        <v>548</v>
      </c>
      <c r="D69" s="1121">
        <v>1765</v>
      </c>
      <c r="E69" s="1122">
        <v>1597</v>
      </c>
      <c r="F69" s="972">
        <f t="shared" si="7"/>
        <v>0.9048158640226629</v>
      </c>
      <c r="G69" s="634">
        <f t="shared" si="8"/>
        <v>2.914233576642336</v>
      </c>
    </row>
    <row r="70" spans="1:8" ht="12.9" thickBot="1" x14ac:dyDescent="0.35">
      <c r="A70" s="72">
        <v>15</v>
      </c>
      <c r="B70" s="533" t="s">
        <v>28</v>
      </c>
      <c r="C70" s="1192">
        <v>463</v>
      </c>
      <c r="D70" s="1193">
        <v>1</v>
      </c>
      <c r="E70" s="1194">
        <v>2387</v>
      </c>
      <c r="F70" s="973">
        <f t="shared" si="7"/>
        <v>2387</v>
      </c>
      <c r="G70" s="729">
        <f t="shared" si="8"/>
        <v>5.1555075593952484</v>
      </c>
    </row>
    <row r="71" spans="1:8" ht="12.9" thickBot="1" x14ac:dyDescent="0.35">
      <c r="A71" s="1343" t="s">
        <v>479</v>
      </c>
      <c r="B71" s="1344" t="s">
        <v>488</v>
      </c>
      <c r="C71" s="1345">
        <f t="shared" ref="C71:E71" si="9">SUM(C56:C70)</f>
        <v>4315</v>
      </c>
      <c r="D71" s="1346">
        <f t="shared" si="9"/>
        <v>9343</v>
      </c>
      <c r="E71" s="1347">
        <f t="shared" si="9"/>
        <v>24185</v>
      </c>
      <c r="F71" s="1348">
        <f>E71/D71</f>
        <v>2.5885689821256554</v>
      </c>
      <c r="G71" s="1349">
        <f>E71/C71</f>
        <v>5.6048667439165705</v>
      </c>
      <c r="H71" s="412"/>
    </row>
    <row r="72" spans="1:8" ht="12.9" thickBot="1" x14ac:dyDescent="0.35">
      <c r="A72" s="974"/>
      <c r="B72" s="93" t="s">
        <v>455</v>
      </c>
      <c r="C72" s="1192">
        <v>4861</v>
      </c>
      <c r="D72" s="1193"/>
      <c r="E72" s="1194"/>
      <c r="F72" s="1350" t="e">
        <f>E72/D72</f>
        <v>#DIV/0!</v>
      </c>
      <c r="G72" s="1351">
        <f>E72/C72</f>
        <v>0</v>
      </c>
    </row>
    <row r="73" spans="1:8" x14ac:dyDescent="0.3">
      <c r="A73" t="s">
        <v>532</v>
      </c>
    </row>
    <row r="78" spans="1:8" x14ac:dyDescent="0.3">
      <c r="G78" t="s">
        <v>108</v>
      </c>
    </row>
  </sheetData>
  <mergeCells count="3">
    <mergeCell ref="A4:G4"/>
    <mergeCell ref="A32:G32"/>
    <mergeCell ref="A54:G54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5">
    <tabColor rgb="FFFF0000"/>
  </sheetPr>
  <dimension ref="A1:O52"/>
  <sheetViews>
    <sheetView showGridLines="0" zoomScaleNormal="100" workbookViewId="0">
      <selection activeCell="L4" sqref="L4"/>
    </sheetView>
  </sheetViews>
  <sheetFormatPr baseColWidth="10" defaultColWidth="11.4609375" defaultRowHeight="11.6" x14ac:dyDescent="0.3"/>
  <cols>
    <col min="1" max="1" width="6.07421875" style="470" bestFit="1" customWidth="1"/>
    <col min="2" max="2" width="20.53515625" style="60" customWidth="1"/>
    <col min="3" max="3" width="8.53515625" style="60" customWidth="1"/>
    <col min="4" max="4" width="9.53515625" style="60" customWidth="1"/>
    <col min="5" max="5" width="9" style="60" customWidth="1"/>
    <col min="6" max="6" width="7.69140625" style="60" customWidth="1"/>
    <col min="7" max="8" width="11.4609375" style="60" customWidth="1"/>
    <col min="9" max="9" width="8.53515625" style="60" customWidth="1"/>
    <col min="10" max="10" width="8.3046875" style="60" customWidth="1"/>
    <col min="11" max="11" width="8.84375" style="60" customWidth="1"/>
    <col min="12" max="12" width="8.3046875" style="60" customWidth="1"/>
    <col min="13" max="13" width="8" style="60" customWidth="1"/>
    <col min="14" max="14" width="8.4609375" style="60" customWidth="1"/>
    <col min="15" max="15" width="3.69140625" style="60" customWidth="1"/>
    <col min="16" max="16384" width="11.4609375" style="60"/>
  </cols>
  <sheetData>
    <row r="1" spans="1:15" x14ac:dyDescent="0.3">
      <c r="A1" s="483" t="s">
        <v>0</v>
      </c>
    </row>
    <row r="2" spans="1:15" x14ac:dyDescent="0.3">
      <c r="A2" s="483"/>
    </row>
    <row r="3" spans="1:15" x14ac:dyDescent="0.3">
      <c r="A3" s="483" t="str">
        <f>A5</f>
        <v>Tabell 3-6 - A -  Andel brukere av hjemmetjenester pr. 31.12. av antall innbyggere i samme aldersgruppe.   1)</v>
      </c>
    </row>
    <row r="4" spans="1:15" x14ac:dyDescent="0.3">
      <c r="A4" s="483"/>
    </row>
    <row r="5" spans="1:15" s="61" customFormat="1" ht="30" customHeight="1" thickBot="1" x14ac:dyDescent="0.35">
      <c r="A5" s="469" t="s">
        <v>429</v>
      </c>
      <c r="O5" s="60"/>
    </row>
    <row r="6" spans="1:15" s="457" customFormat="1" ht="12" thickBot="1" x14ac:dyDescent="0.35">
      <c r="A6" s="448"/>
      <c r="B6" s="449"/>
      <c r="C6" s="1628" t="s">
        <v>343</v>
      </c>
      <c r="D6" s="1628"/>
      <c r="E6" s="1628"/>
      <c r="F6" s="1628"/>
      <c r="G6" s="1628"/>
      <c r="H6" s="1628"/>
      <c r="I6" s="1628" t="s">
        <v>53</v>
      </c>
      <c r="J6" s="1628"/>
      <c r="K6" s="1628"/>
      <c r="L6" s="1628"/>
      <c r="M6" s="1628"/>
      <c r="N6" s="1628"/>
      <c r="O6" s="60"/>
    </row>
    <row r="7" spans="1:15" s="457" customFormat="1" ht="46.75" thickBot="1" x14ac:dyDescent="0.35">
      <c r="A7" s="450" t="s">
        <v>2</v>
      </c>
      <c r="B7" s="451" t="s">
        <v>3</v>
      </c>
      <c r="C7" s="455" t="s">
        <v>54</v>
      </c>
      <c r="D7" s="456" t="s">
        <v>55</v>
      </c>
      <c r="E7" s="454" t="s">
        <v>56</v>
      </c>
      <c r="F7" s="454" t="s">
        <v>57</v>
      </c>
      <c r="G7" s="452" t="s">
        <v>58</v>
      </c>
      <c r="H7" s="454" t="s">
        <v>59</v>
      </c>
      <c r="I7" s="453" t="s">
        <v>344</v>
      </c>
      <c r="J7" s="456" t="s">
        <v>345</v>
      </c>
      <c r="K7" s="456" t="s">
        <v>346</v>
      </c>
      <c r="L7" s="454" t="s">
        <v>347</v>
      </c>
      <c r="M7" s="454" t="s">
        <v>348</v>
      </c>
      <c r="N7" s="454" t="s">
        <v>349</v>
      </c>
      <c r="O7" s="60"/>
    </row>
    <row r="8" spans="1:15" x14ac:dyDescent="0.3">
      <c r="A8" s="458">
        <v>1</v>
      </c>
      <c r="B8" s="459" t="s">
        <v>14</v>
      </c>
      <c r="C8" s="487">
        <f>kriteriebefolkning!C5+kriteriebefolkning!D5+kriteriebefolkning!E5+kriteriebefolkning!F5+kriteriebefolkning!G5+kriteriebefolkning!H5+kriteriebefolkning!I5+kriteriebefolkning!J5+kriteriebefolkning!K5+kriteriebefolkning!L5+kriteriebefolkning!M5</f>
        <v>55169</v>
      </c>
      <c r="D8" s="1360">
        <f>kriteriebefolkning!N5+kriteriebefolkning!O5</f>
        <v>2821</v>
      </c>
      <c r="E8" s="1360">
        <f>kriteriebefolkning!P5+kriteriebefolkning!Q5</f>
        <v>545</v>
      </c>
      <c r="F8" s="488">
        <f>kriteriebefolkning!R5+kriteriebefolkning!S5</f>
        <v>178</v>
      </c>
      <c r="G8" s="635">
        <f t="shared" ref="G8:G22" si="0">SUM(E8:F8)</f>
        <v>723</v>
      </c>
      <c r="H8" s="1500">
        <f>D8+E8+F8</f>
        <v>3544</v>
      </c>
      <c r="I8" s="1362">
        <f>('Tab_3_5_-_hjemmetjenester'!X10+'Tab_3_5_-_hjemmetjenester'!Y10)/'Tab_3_6_-_andel_mottakere_hj_tj'!C8</f>
        <v>1.0295637042542008E-2</v>
      </c>
      <c r="J8" s="1363">
        <f>'Tab_3_5_-_hjemmetjenester'!Z10/'Tab_3_6_-_andel_mottakere_hj_tj'!D8</f>
        <v>7.3023750443105287E-2</v>
      </c>
      <c r="K8" s="1363">
        <f>'Tab_3_5_-_hjemmetjenester'!AA10/'Tab_3_6_-_andel_mottakere_hj_tj'!E8</f>
        <v>0.28990825688073396</v>
      </c>
      <c r="L8" s="1363">
        <f>'Tab_3_5_-_hjemmetjenester'!AB10/'Tab_3_6_-_andel_mottakere_hj_tj'!F8</f>
        <v>0.4101123595505618</v>
      </c>
      <c r="M8" s="1363">
        <f>('Tab_3_5_-_hjemmetjenester'!AA10+'Tab_3_5_-_hjemmetjenester'!AB10)/'Tab_3_6_-_andel_mottakere_hj_tj'!G8</f>
        <v>0.31950207468879666</v>
      </c>
      <c r="N8" s="1364">
        <f>('Tab_3_5_-_hjemmetjenester'!Z10+'Tab_3_5_-_hjemmetjenester'!AA10+'Tab_3_5_-_hjemmetjenester'!AB10)/'Tab_3_6_-_andel_mottakere_hj_tj'!H8</f>
        <v>0.12330699774266365</v>
      </c>
    </row>
    <row r="9" spans="1:15" x14ac:dyDescent="0.3">
      <c r="A9" s="461">
        <v>2</v>
      </c>
      <c r="B9" s="462" t="s">
        <v>15</v>
      </c>
      <c r="C9" s="489">
        <f>kriteriebefolkning!C6+kriteriebefolkning!D6+kriteriebefolkning!E6+kriteriebefolkning!F6+kriteriebefolkning!G6+kriteriebefolkning!H6+kriteriebefolkning!I6+kriteriebefolkning!J6+kriteriebefolkning!K6+kriteriebefolkning!L6+kriteriebefolkning!M6</f>
        <v>59220</v>
      </c>
      <c r="D9" s="482">
        <f>kriteriebefolkning!N6+kriteriebefolkning!O6</f>
        <v>2535</v>
      </c>
      <c r="E9" s="482">
        <f>kriteriebefolkning!P6+kriteriebefolkning!Q6</f>
        <v>482</v>
      </c>
      <c r="F9" s="490">
        <f>kriteriebefolkning!R6+kriteriebefolkning!S6</f>
        <v>172</v>
      </c>
      <c r="G9" s="636">
        <f t="shared" si="0"/>
        <v>654</v>
      </c>
      <c r="H9" s="1501">
        <f t="shared" ref="H9:H22" si="1">D9+E9+F9</f>
        <v>3189</v>
      </c>
      <c r="I9" s="775">
        <f>('Tab_3_5_-_hjemmetjenester'!X11+'Tab_3_5_-_hjemmetjenester'!Y11)/'Tab_3_6_-_andel_mottakere_hj_tj'!C9</f>
        <v>9.439378588314758E-3</v>
      </c>
      <c r="J9" s="587">
        <f>'Tab_3_5_-_hjemmetjenester'!Z11/'Tab_3_6_-_andel_mottakere_hj_tj'!D9</f>
        <v>9.6252465483234712E-2</v>
      </c>
      <c r="K9" s="587">
        <f>'Tab_3_5_-_hjemmetjenester'!AA11/'Tab_3_6_-_andel_mottakere_hj_tj'!E9</f>
        <v>0.29460580912863071</v>
      </c>
      <c r="L9" s="587">
        <f>'Tab_3_5_-_hjemmetjenester'!AB11/'Tab_3_6_-_andel_mottakere_hj_tj'!F9</f>
        <v>0.40697674418604651</v>
      </c>
      <c r="M9" s="587">
        <f>('Tab_3_5_-_hjemmetjenester'!AA11+'Tab_3_5_-_hjemmetjenester'!AB11)/'Tab_3_6_-_andel_mottakere_hj_tj'!G9</f>
        <v>0.32415902140672781</v>
      </c>
      <c r="N9" s="588">
        <f>('Tab_3_5_-_hjemmetjenester'!Z11+'Tab_3_5_-_hjemmetjenester'!AA11+'Tab_3_5_-_hjemmetjenester'!AB11)/'Tab_3_6_-_andel_mottakere_hj_tj'!H9</f>
        <v>0.14299153339604892</v>
      </c>
    </row>
    <row r="10" spans="1:15" x14ac:dyDescent="0.3">
      <c r="A10" s="461">
        <v>3</v>
      </c>
      <c r="B10" s="462" t="s">
        <v>16</v>
      </c>
      <c r="C10" s="489">
        <f>kriteriebefolkning!C7+kriteriebefolkning!D7+kriteriebefolkning!E7+kriteriebefolkning!F7+kriteriebefolkning!G7+kriteriebefolkning!H7+kriteriebefolkning!I7+kriteriebefolkning!J7+kriteriebefolkning!K7+kriteriebefolkning!L7+kriteriebefolkning!M7</f>
        <v>42050</v>
      </c>
      <c r="D10" s="482">
        <f>kriteriebefolkning!N7+kriteriebefolkning!O7</f>
        <v>2344</v>
      </c>
      <c r="E10" s="482">
        <f>kriteriebefolkning!P7+kriteriebefolkning!Q7</f>
        <v>498</v>
      </c>
      <c r="F10" s="490">
        <f>kriteriebefolkning!R7+kriteriebefolkning!S7</f>
        <v>161</v>
      </c>
      <c r="G10" s="636">
        <f t="shared" si="0"/>
        <v>659</v>
      </c>
      <c r="H10" s="1501">
        <f t="shared" si="1"/>
        <v>3003</v>
      </c>
      <c r="I10" s="775">
        <f>('Tab_3_5_-_hjemmetjenester'!X12+'Tab_3_5_-_hjemmetjenester'!Y12)/'Tab_3_6_-_andel_mottakere_hj_tj'!C10</f>
        <v>1.1843043995243758E-2</v>
      </c>
      <c r="J10" s="587">
        <f>'Tab_3_5_-_hjemmetjenester'!Z12/'Tab_3_6_-_andel_mottakere_hj_tj'!D10</f>
        <v>9.3856655290102384E-2</v>
      </c>
      <c r="K10" s="587">
        <f>'Tab_3_5_-_hjemmetjenester'!AA12/'Tab_3_6_-_andel_mottakere_hj_tj'!E10</f>
        <v>0.28915662650602408</v>
      </c>
      <c r="L10" s="587">
        <f>'Tab_3_5_-_hjemmetjenester'!AB12/'Tab_3_6_-_andel_mottakere_hj_tj'!F10</f>
        <v>0.453416149068323</v>
      </c>
      <c r="M10" s="587">
        <f>('Tab_3_5_-_hjemmetjenester'!AA12+'Tab_3_5_-_hjemmetjenester'!AB12)/'Tab_3_6_-_andel_mottakere_hj_tj'!G10</f>
        <v>0.3292867981790592</v>
      </c>
      <c r="N10" s="588">
        <f>('Tab_3_5_-_hjemmetjenester'!Z12+'Tab_3_5_-_hjemmetjenester'!AA12+'Tab_3_5_-_hjemmetjenester'!AB12)/'Tab_3_6_-_andel_mottakere_hj_tj'!H10</f>
        <v>0.14552114552114553</v>
      </c>
    </row>
    <row r="11" spans="1:15" x14ac:dyDescent="0.3">
      <c r="A11" s="461">
        <v>4</v>
      </c>
      <c r="B11" s="462" t="s">
        <v>17</v>
      </c>
      <c r="C11" s="489">
        <f>kriteriebefolkning!C8+kriteriebefolkning!D8+kriteriebefolkning!E8+kriteriebefolkning!F8+kriteriebefolkning!G8+kriteriebefolkning!H8+kriteriebefolkning!I8+kriteriebefolkning!J8+kriteriebefolkning!K8+kriteriebefolkning!L8+kriteriebefolkning!M8</f>
        <v>37445</v>
      </c>
      <c r="D11" s="482">
        <f>kriteriebefolkning!N8+kriteriebefolkning!O8</f>
        <v>2155</v>
      </c>
      <c r="E11" s="482">
        <f>kriteriebefolkning!P8+kriteriebefolkning!Q8</f>
        <v>548</v>
      </c>
      <c r="F11" s="490">
        <f>kriteriebefolkning!R8+kriteriebefolkning!S8</f>
        <v>173</v>
      </c>
      <c r="G11" s="636">
        <f t="shared" si="0"/>
        <v>721</v>
      </c>
      <c r="H11" s="1501">
        <f t="shared" si="1"/>
        <v>2876</v>
      </c>
      <c r="I11" s="775">
        <f>('Tab_3_5_-_hjemmetjenester'!X13+'Tab_3_5_-_hjemmetjenester'!Y13)/'Tab_3_6_-_andel_mottakere_hj_tj'!C11</f>
        <v>8.7328081185739093E-3</v>
      </c>
      <c r="J11" s="587">
        <f>'Tab_3_5_-_hjemmetjenester'!Z13/'Tab_3_6_-_andel_mottakere_hj_tj'!D11</f>
        <v>6.450116009280743E-2</v>
      </c>
      <c r="K11" s="587">
        <f>'Tab_3_5_-_hjemmetjenester'!AA13/'Tab_3_6_-_andel_mottakere_hj_tj'!E11</f>
        <v>0.23540145985401459</v>
      </c>
      <c r="L11" s="587">
        <f>'Tab_3_5_-_hjemmetjenester'!AB13/'Tab_3_6_-_andel_mottakere_hj_tj'!F11</f>
        <v>0.50289017341040465</v>
      </c>
      <c r="M11" s="587">
        <f>('Tab_3_5_-_hjemmetjenester'!AA13+'Tab_3_5_-_hjemmetjenester'!AB13)/'Tab_3_6_-_andel_mottakere_hj_tj'!G11</f>
        <v>0.29958391123439665</v>
      </c>
      <c r="N11" s="588">
        <f>('Tab_3_5_-_hjemmetjenester'!Z13+'Tab_3_5_-_hjemmetjenester'!AA13+'Tab_3_5_-_hjemmetjenester'!AB13)/'Tab_3_6_-_andel_mottakere_hj_tj'!H11</f>
        <v>0.12343532684283727</v>
      </c>
    </row>
    <row r="12" spans="1:15" x14ac:dyDescent="0.3">
      <c r="A12" s="461">
        <v>5</v>
      </c>
      <c r="B12" s="462" t="s">
        <v>18</v>
      </c>
      <c r="C12" s="489">
        <f>kriteriebefolkning!C9+kriteriebefolkning!D9+kriteriebefolkning!E9+kriteriebefolkning!F9+kriteriebefolkning!G9+kriteriebefolkning!H9+kriteriebefolkning!I9+kriteriebefolkning!J9+kriteriebefolkning!K9+kriteriebefolkning!L9+kriteriebefolkning!M9</f>
        <v>51566</v>
      </c>
      <c r="D12" s="482">
        <f>kriteriebefolkning!N9+kriteriebefolkning!O9</f>
        <v>5646</v>
      </c>
      <c r="E12" s="482">
        <f>kriteriebefolkning!P9+kriteriebefolkning!Q9</f>
        <v>1636</v>
      </c>
      <c r="F12" s="490">
        <f>kriteriebefolkning!R9+kriteriebefolkning!S9</f>
        <v>444</v>
      </c>
      <c r="G12" s="636">
        <f t="shared" si="0"/>
        <v>2080</v>
      </c>
      <c r="H12" s="1501">
        <f t="shared" si="1"/>
        <v>7726</v>
      </c>
      <c r="I12" s="775">
        <f>('Tab_3_5_-_hjemmetjenester'!X14+'Tab_3_5_-_hjemmetjenester'!Y14)/'Tab_3_6_-_andel_mottakere_hj_tj'!C12</f>
        <v>7.6600861032463255E-3</v>
      </c>
      <c r="J12" s="587">
        <f>'Tab_3_5_-_hjemmetjenester'!Z14/'Tab_3_6_-_andel_mottakere_hj_tj'!D12</f>
        <v>5.6323060573857602E-2</v>
      </c>
      <c r="K12" s="587">
        <f>'Tab_3_5_-_hjemmetjenester'!AA14/'Tab_3_6_-_andel_mottakere_hj_tj'!E12</f>
        <v>0.21271393643031786</v>
      </c>
      <c r="L12" s="587">
        <f>'Tab_3_5_-_hjemmetjenester'!AB14/'Tab_3_6_-_andel_mottakere_hj_tj'!F12</f>
        <v>0.3783783783783784</v>
      </c>
      <c r="M12" s="587">
        <f>('Tab_3_5_-_hjemmetjenester'!AA14+'Tab_3_5_-_hjemmetjenester'!AB14)/'Tab_3_6_-_andel_mottakere_hj_tj'!G12</f>
        <v>0.24807692307692308</v>
      </c>
      <c r="N12" s="588">
        <f>('Tab_3_5_-_hjemmetjenester'!Z14+'Tab_3_5_-_hjemmetjenester'!AA14+'Tab_3_5_-_hjemmetjenester'!AB14)/'Tab_3_6_-_andel_mottakere_hj_tj'!H12</f>
        <v>0.10794719130209682</v>
      </c>
    </row>
    <row r="13" spans="1:15" x14ac:dyDescent="0.3">
      <c r="A13" s="464">
        <v>6</v>
      </c>
      <c r="B13" s="465" t="s">
        <v>19</v>
      </c>
      <c r="C13" s="489">
        <f>kriteriebefolkning!C10+kriteriebefolkning!D10+kriteriebefolkning!E10+kriteriebefolkning!F10+kriteriebefolkning!G10+kriteriebefolkning!H10+kriteriebefolkning!I10+kriteriebefolkning!J10+kriteriebefolkning!K10+kriteriebefolkning!L10+kriteriebefolkning!M10</f>
        <v>28413</v>
      </c>
      <c r="D13" s="482">
        <f>kriteriebefolkning!N10+kriteriebefolkning!O10</f>
        <v>4398</v>
      </c>
      <c r="E13" s="482">
        <f>kriteriebefolkning!P10+kriteriebefolkning!Q10</f>
        <v>1294</v>
      </c>
      <c r="F13" s="490">
        <f>kriteriebefolkning!R10+kriteriebefolkning!S10</f>
        <v>395</v>
      </c>
      <c r="G13" s="636">
        <f t="shared" si="0"/>
        <v>1689</v>
      </c>
      <c r="H13" s="1501">
        <f t="shared" si="1"/>
        <v>6087</v>
      </c>
      <c r="I13" s="775">
        <f>('Tab_3_5_-_hjemmetjenester'!X15+'Tab_3_5_-_hjemmetjenester'!Y15)/'Tab_3_6_-_andel_mottakere_hj_tj'!C13</f>
        <v>8.5172280294231514E-3</v>
      </c>
      <c r="J13" s="587">
        <f>'Tab_3_5_-_hjemmetjenester'!Z15/'Tab_3_6_-_andel_mottakere_hj_tj'!D13</f>
        <v>3.9108685766257388E-2</v>
      </c>
      <c r="K13" s="587">
        <f>'Tab_3_5_-_hjemmetjenester'!AA15/'Tab_3_6_-_andel_mottakere_hj_tj'!E13</f>
        <v>0.16228748068006182</v>
      </c>
      <c r="L13" s="587">
        <f>'Tab_3_5_-_hjemmetjenester'!AB15/'Tab_3_6_-_andel_mottakere_hj_tj'!F13</f>
        <v>0.36708860759493672</v>
      </c>
      <c r="M13" s="587">
        <f>('Tab_3_5_-_hjemmetjenester'!AA15+'Tab_3_5_-_hjemmetjenester'!AB15)/'Tab_3_6_-_andel_mottakere_hj_tj'!G13</f>
        <v>0.21018354055654234</v>
      </c>
      <c r="N13" s="588">
        <f>('Tab_3_5_-_hjemmetjenester'!Z15+'Tab_3_5_-_hjemmetjenester'!AA15+'Tab_3_5_-_hjemmetjenester'!AB15)/'Tab_3_6_-_andel_mottakere_hj_tj'!H13</f>
        <v>8.6577953014621317E-2</v>
      </c>
    </row>
    <row r="14" spans="1:15" x14ac:dyDescent="0.3">
      <c r="A14" s="464">
        <v>7</v>
      </c>
      <c r="B14" s="465" t="s">
        <v>20</v>
      </c>
      <c r="C14" s="489">
        <f>kriteriebefolkning!C11+kriteriebefolkning!D11+kriteriebefolkning!E11+kriteriebefolkning!F11+kriteriebefolkning!G11+kriteriebefolkning!H11+kriteriebefolkning!I11+kriteriebefolkning!J11+kriteriebefolkning!K11+kriteriebefolkning!L11+kriteriebefolkning!M11</f>
        <v>43068</v>
      </c>
      <c r="D14" s="482">
        <f>kriteriebefolkning!N11+kriteriebefolkning!O11</f>
        <v>5646</v>
      </c>
      <c r="E14" s="482">
        <f>kriteriebefolkning!P11+kriteriebefolkning!Q11</f>
        <v>1666</v>
      </c>
      <c r="F14" s="490">
        <f>kriteriebefolkning!R11+kriteriebefolkning!S11</f>
        <v>496</v>
      </c>
      <c r="G14" s="636">
        <f t="shared" si="0"/>
        <v>2162</v>
      </c>
      <c r="H14" s="1501">
        <f t="shared" si="1"/>
        <v>7808</v>
      </c>
      <c r="I14" s="775">
        <f>('Tab_3_5_-_hjemmetjenester'!X16+'Tab_3_5_-_hjemmetjenester'!Y16)/'Tab_3_6_-_andel_mottakere_hj_tj'!C14</f>
        <v>7.5926441905823346E-3</v>
      </c>
      <c r="J14" s="587">
        <f>'Tab_3_5_-_hjemmetjenester'!Z16/'Tab_3_6_-_andel_mottakere_hj_tj'!D14</f>
        <v>3.5600425079702444E-2</v>
      </c>
      <c r="K14" s="587">
        <f>'Tab_3_5_-_hjemmetjenester'!AA16/'Tab_3_6_-_andel_mottakere_hj_tj'!E14</f>
        <v>0.18487394957983194</v>
      </c>
      <c r="L14" s="587">
        <f>'Tab_3_5_-_hjemmetjenester'!AB16/'Tab_3_6_-_andel_mottakere_hj_tj'!F14</f>
        <v>0.40927419354838712</v>
      </c>
      <c r="M14" s="587">
        <f>('Tab_3_5_-_hjemmetjenester'!AA16+'Tab_3_5_-_hjemmetjenester'!AB16)/'Tab_3_6_-_andel_mottakere_hj_tj'!G14</f>
        <v>0.23635522664199815</v>
      </c>
      <c r="N14" s="588">
        <f>('Tab_3_5_-_hjemmetjenester'!Z16+'Tab_3_5_-_hjemmetjenester'!AA16+'Tab_3_5_-_hjemmetjenester'!AB16)/'Tab_3_6_-_andel_mottakere_hj_tj'!H14</f>
        <v>9.1188524590163939E-2</v>
      </c>
    </row>
    <row r="15" spans="1:15" x14ac:dyDescent="0.3">
      <c r="A15" s="461">
        <v>8</v>
      </c>
      <c r="B15" s="462" t="s">
        <v>21</v>
      </c>
      <c r="C15" s="489">
        <f>kriteriebefolkning!C12+kriteriebefolkning!D12+kriteriebefolkning!E12+kriteriebefolkning!F12+kriteriebefolkning!G12+kriteriebefolkning!H12+kriteriebefolkning!I12+kriteriebefolkning!J12+kriteriebefolkning!K12+kriteriebefolkning!L12+kriteriebefolkning!M12</f>
        <v>46706</v>
      </c>
      <c r="D15" s="482">
        <f>kriteriebefolkning!N12+kriteriebefolkning!O12</f>
        <v>4515</v>
      </c>
      <c r="E15" s="482">
        <f>kriteriebefolkning!P12+kriteriebefolkning!Q12</f>
        <v>1523</v>
      </c>
      <c r="F15" s="490">
        <f>kriteriebefolkning!R12+kriteriebefolkning!S12</f>
        <v>462</v>
      </c>
      <c r="G15" s="636">
        <f t="shared" si="0"/>
        <v>1985</v>
      </c>
      <c r="H15" s="1501">
        <f t="shared" si="1"/>
        <v>6500</v>
      </c>
      <c r="I15" s="775">
        <f>('Tab_3_5_-_hjemmetjenester'!X17+'Tab_3_5_-_hjemmetjenester'!Y17)/'Tab_3_6_-_andel_mottakere_hj_tj'!C15</f>
        <v>8.928189097760459E-3</v>
      </c>
      <c r="J15" s="587">
        <f>'Tab_3_5_-_hjemmetjenester'!Z17/'Tab_3_6_-_andel_mottakere_hj_tj'!D15</f>
        <v>3.875968992248062E-2</v>
      </c>
      <c r="K15" s="587">
        <f>'Tab_3_5_-_hjemmetjenester'!AA17/'Tab_3_6_-_andel_mottakere_hj_tj'!E15</f>
        <v>0.20026263952724885</v>
      </c>
      <c r="L15" s="587">
        <f>'Tab_3_5_-_hjemmetjenester'!AB17/'Tab_3_6_-_andel_mottakere_hj_tj'!F15</f>
        <v>0.37662337662337664</v>
      </c>
      <c r="M15" s="587">
        <f>('Tab_3_5_-_hjemmetjenester'!AA17+'Tab_3_5_-_hjemmetjenester'!AB17)/'Tab_3_6_-_andel_mottakere_hj_tj'!G15</f>
        <v>0.24130982367758186</v>
      </c>
      <c r="N15" s="588">
        <f>('Tab_3_5_-_hjemmetjenester'!Z17+'Tab_3_5_-_hjemmetjenester'!AA17+'Tab_3_5_-_hjemmetjenester'!AB17)/'Tab_3_6_-_andel_mottakere_hj_tj'!H15</f>
        <v>0.10061538461538462</v>
      </c>
    </row>
    <row r="16" spans="1:15" x14ac:dyDescent="0.3">
      <c r="A16" s="461">
        <v>9</v>
      </c>
      <c r="B16" s="462" t="s">
        <v>22</v>
      </c>
      <c r="C16" s="489">
        <f>kriteriebefolkning!C13+kriteriebefolkning!D13+kriteriebefolkning!E13+kriteriebefolkning!F13+kriteriebefolkning!G13+kriteriebefolkning!H13+kriteriebefolkning!I13+kriteriebefolkning!J13+kriteriebefolkning!K13+kriteriebefolkning!L13+kriteriebefolkning!M13</f>
        <v>30180</v>
      </c>
      <c r="D16" s="482">
        <f>kriteriebefolkning!N13+kriteriebefolkning!O13</f>
        <v>2258</v>
      </c>
      <c r="E16" s="482">
        <f>kriteriebefolkning!P13+kriteriebefolkning!Q13</f>
        <v>773</v>
      </c>
      <c r="F16" s="490">
        <f>kriteriebefolkning!R13+kriteriebefolkning!S13</f>
        <v>280</v>
      </c>
      <c r="G16" s="636">
        <f t="shared" si="0"/>
        <v>1053</v>
      </c>
      <c r="H16" s="1501">
        <f t="shared" si="1"/>
        <v>3311</v>
      </c>
      <c r="I16" s="775">
        <f>('Tab_3_5_-_hjemmetjenester'!X18+'Tab_3_5_-_hjemmetjenester'!Y18)/'Tab_3_6_-_andel_mottakere_hj_tj'!C16</f>
        <v>1.1961563949635521E-2</v>
      </c>
      <c r="J16" s="587">
        <f>'Tab_3_5_-_hjemmetjenester'!Z18/'Tab_3_6_-_andel_mottakere_hj_tj'!D16</f>
        <v>7.8830823737821076E-2</v>
      </c>
      <c r="K16" s="587">
        <f>'Tab_3_5_-_hjemmetjenester'!AA18/'Tab_3_6_-_andel_mottakere_hj_tj'!E16</f>
        <v>0.32988357050452782</v>
      </c>
      <c r="L16" s="587">
        <f>'Tab_3_5_-_hjemmetjenester'!AB18/'Tab_3_6_-_andel_mottakere_hj_tj'!F16</f>
        <v>0.43928571428571428</v>
      </c>
      <c r="M16" s="587">
        <f>('Tab_3_5_-_hjemmetjenester'!AA18+'Tab_3_5_-_hjemmetjenester'!AB18)/'Tab_3_6_-_andel_mottakere_hj_tj'!G16</f>
        <v>0.35897435897435898</v>
      </c>
      <c r="N16" s="588">
        <f>('Tab_3_5_-_hjemmetjenester'!Z18+'Tab_3_5_-_hjemmetjenester'!AA18+'Tab_3_5_-_hjemmetjenester'!AB18)/'Tab_3_6_-_andel_mottakere_hj_tj'!H16</f>
        <v>0.1679250981576563</v>
      </c>
    </row>
    <row r="17" spans="1:15" x14ac:dyDescent="0.3">
      <c r="A17" s="461">
        <v>10</v>
      </c>
      <c r="B17" s="462" t="s">
        <v>23</v>
      </c>
      <c r="C17" s="489">
        <f>kriteriebefolkning!C14+kriteriebefolkning!D14+kriteriebefolkning!E14+kriteriebefolkning!F14+kriteriebefolkning!G14+kriteriebefolkning!H14+kriteriebefolkning!I14+kriteriebefolkning!J14+kriteriebefolkning!K14+kriteriebefolkning!L14+kriteriebefolkning!M14</f>
        <v>24325</v>
      </c>
      <c r="D17" s="482">
        <f>kriteriebefolkning!N14+kriteriebefolkning!O14</f>
        <v>2317</v>
      </c>
      <c r="E17" s="482">
        <f>kriteriebefolkning!P14+kriteriebefolkning!Q14</f>
        <v>782</v>
      </c>
      <c r="F17" s="490">
        <f>kriteriebefolkning!R14+kriteriebefolkning!S14</f>
        <v>206</v>
      </c>
      <c r="G17" s="636">
        <f t="shared" si="0"/>
        <v>988</v>
      </c>
      <c r="H17" s="1501">
        <f t="shared" si="1"/>
        <v>3305</v>
      </c>
      <c r="I17" s="775">
        <f>('Tab_3_5_-_hjemmetjenester'!X19+'Tab_3_5_-_hjemmetjenester'!Y19)/'Tab_3_6_-_andel_mottakere_hj_tj'!C17</f>
        <v>1.6649537512846865E-2</v>
      </c>
      <c r="J17" s="587">
        <f>'Tab_3_5_-_hjemmetjenester'!Z19/'Tab_3_6_-_andel_mottakere_hj_tj'!D17</f>
        <v>0.10444540353905912</v>
      </c>
      <c r="K17" s="587">
        <f>'Tab_3_5_-_hjemmetjenester'!AA19/'Tab_3_6_-_andel_mottakere_hj_tj'!E17</f>
        <v>0.29923273657289001</v>
      </c>
      <c r="L17" s="587">
        <f>'Tab_3_5_-_hjemmetjenester'!AB19/'Tab_3_6_-_andel_mottakere_hj_tj'!F17</f>
        <v>0.35436893203883496</v>
      </c>
      <c r="M17" s="587">
        <f>('Tab_3_5_-_hjemmetjenester'!AA19+'Tab_3_5_-_hjemmetjenester'!AB19)/'Tab_3_6_-_andel_mottakere_hj_tj'!G17</f>
        <v>0.31072874493927127</v>
      </c>
      <c r="N17" s="588">
        <f>('Tab_3_5_-_hjemmetjenester'!Z19+'Tab_3_5_-_hjemmetjenester'!AA19+'Tab_3_5_-_hjemmetjenester'!AB19)/'Tab_3_6_-_andel_mottakere_hj_tj'!H17</f>
        <v>0.16611195158850228</v>
      </c>
    </row>
    <row r="18" spans="1:15" x14ac:dyDescent="0.3">
      <c r="A18" s="464">
        <v>11</v>
      </c>
      <c r="B18" s="465" t="s">
        <v>24</v>
      </c>
      <c r="C18" s="489">
        <f>kriteriebefolkning!C15+kriteriebefolkning!D15+kriteriebefolkning!E15+kriteriebefolkning!F15+kriteriebefolkning!G15+kriteriebefolkning!H15+kriteriebefolkning!I15+kriteriebefolkning!J15+kriteriebefolkning!K15+kriteriebefolkning!L15+kriteriebefolkning!M15</f>
        <v>28790</v>
      </c>
      <c r="D18" s="482">
        <f>kriteriebefolkning!N15+kriteriebefolkning!O15</f>
        <v>3312</v>
      </c>
      <c r="E18" s="482">
        <f>kriteriebefolkning!P15+kriteriebefolkning!Q15</f>
        <v>973</v>
      </c>
      <c r="F18" s="490">
        <f>kriteriebefolkning!R15+kriteriebefolkning!S15</f>
        <v>184</v>
      </c>
      <c r="G18" s="636">
        <f t="shared" si="0"/>
        <v>1157</v>
      </c>
      <c r="H18" s="1501">
        <f t="shared" si="1"/>
        <v>4469</v>
      </c>
      <c r="I18" s="775">
        <f>('Tab_3_5_-_hjemmetjenester'!X20+'Tab_3_5_-_hjemmetjenester'!Y20)/'Tab_3_6_-_andel_mottakere_hj_tj'!C18</f>
        <v>1.2921153178186871E-2</v>
      </c>
      <c r="J18" s="587">
        <f>'Tab_3_5_-_hjemmetjenester'!Z20/'Tab_3_6_-_andel_mottakere_hj_tj'!D18</f>
        <v>7.2161835748792272E-2</v>
      </c>
      <c r="K18" s="587">
        <f>'Tab_3_5_-_hjemmetjenester'!AA20/'Tab_3_6_-_andel_mottakere_hj_tj'!E18</f>
        <v>0.22713257965056527</v>
      </c>
      <c r="L18" s="587">
        <f>'Tab_3_5_-_hjemmetjenester'!AB20/'Tab_3_6_-_andel_mottakere_hj_tj'!F18</f>
        <v>0.34782608695652173</v>
      </c>
      <c r="M18" s="587">
        <f>('Tab_3_5_-_hjemmetjenester'!AA20+'Tab_3_5_-_hjemmetjenester'!AB20)/'Tab_3_6_-_andel_mottakere_hj_tj'!G18</f>
        <v>0.24632670700086431</v>
      </c>
      <c r="N18" s="588">
        <f>('Tab_3_5_-_hjemmetjenester'!Z20+'Tab_3_5_-_hjemmetjenester'!AA20+'Tab_3_5_-_hjemmetjenester'!AB20)/'Tab_3_6_-_andel_mottakere_hj_tj'!H18</f>
        <v>0.11725218169612889</v>
      </c>
    </row>
    <row r="19" spans="1:15" x14ac:dyDescent="0.3">
      <c r="A19" s="461">
        <v>12</v>
      </c>
      <c r="B19" s="462" t="s">
        <v>25</v>
      </c>
      <c r="C19" s="489">
        <f>kriteriebefolkning!C16+kriteriebefolkning!D16+kriteriebefolkning!E16+kriteriebefolkning!F16+kriteriebefolkning!G16+kriteriebefolkning!H16+kriteriebefolkning!I16+kriteriebefolkning!J16+kriteriebefolkning!K16+kriteriebefolkning!L16+kriteriebefolkning!M16</f>
        <v>43540</v>
      </c>
      <c r="D19" s="482">
        <f>kriteriebefolkning!N16+kriteriebefolkning!O16</f>
        <v>4682</v>
      </c>
      <c r="E19" s="482">
        <f>kriteriebefolkning!P16+kriteriebefolkning!Q16</f>
        <v>1285</v>
      </c>
      <c r="F19" s="490">
        <f>kriteriebefolkning!R16+kriteriebefolkning!S16</f>
        <v>327</v>
      </c>
      <c r="G19" s="636">
        <f t="shared" si="0"/>
        <v>1612</v>
      </c>
      <c r="H19" s="1501">
        <f t="shared" si="1"/>
        <v>6294</v>
      </c>
      <c r="I19" s="775">
        <f>('Tab_3_5_-_hjemmetjenester'!X21+'Tab_3_5_-_hjemmetjenester'!Y21)/'Tab_3_6_-_andel_mottakere_hj_tj'!C19</f>
        <v>1.187413872301332E-2</v>
      </c>
      <c r="J19" s="587">
        <f>'Tab_3_5_-_hjemmetjenester'!Z21/'Tab_3_6_-_andel_mottakere_hj_tj'!D19</f>
        <v>5.8308415207176417E-2</v>
      </c>
      <c r="K19" s="587">
        <f>'Tab_3_5_-_hjemmetjenester'!AA21/'Tab_3_6_-_andel_mottakere_hj_tj'!E19</f>
        <v>0.23190661478599223</v>
      </c>
      <c r="L19" s="587">
        <f>'Tab_3_5_-_hjemmetjenester'!AB21/'Tab_3_6_-_andel_mottakere_hj_tj'!F19</f>
        <v>0.38532110091743121</v>
      </c>
      <c r="M19" s="587">
        <f>('Tab_3_5_-_hjemmetjenester'!AA21+'Tab_3_5_-_hjemmetjenester'!AB21)/'Tab_3_6_-_andel_mottakere_hj_tj'!G19</f>
        <v>0.26302729528535979</v>
      </c>
      <c r="N19" s="588">
        <f>('Tab_3_5_-_hjemmetjenester'!Z21+'Tab_3_5_-_hjemmetjenester'!AA21+'Tab_3_5_-_hjemmetjenester'!AB21)/'Tab_3_6_-_andel_mottakere_hj_tj'!H19</f>
        <v>0.11074038767079758</v>
      </c>
    </row>
    <row r="20" spans="1:15" x14ac:dyDescent="0.3">
      <c r="A20" s="461">
        <v>13</v>
      </c>
      <c r="B20" s="462" t="s">
        <v>26</v>
      </c>
      <c r="C20" s="489">
        <f>kriteriebefolkning!C17+kriteriebefolkning!D17+kriteriebefolkning!E17+kriteriebefolkning!F17+kriteriebefolkning!G17+kriteriebefolkning!H17+kriteriebefolkning!I17+kriteriebefolkning!J17+kriteriebefolkning!K17+kriteriebefolkning!L17+kriteriebefolkning!M17</f>
        <v>44090</v>
      </c>
      <c r="D20" s="482">
        <f>kriteriebefolkning!N17+kriteriebefolkning!O17</f>
        <v>4130</v>
      </c>
      <c r="E20" s="482">
        <f>kriteriebefolkning!P17+kriteriebefolkning!Q17</f>
        <v>2071</v>
      </c>
      <c r="F20" s="490">
        <f>kriteriebefolkning!R17+kriteriebefolkning!S17</f>
        <v>614</v>
      </c>
      <c r="G20" s="636">
        <f t="shared" si="0"/>
        <v>2685</v>
      </c>
      <c r="H20" s="1501">
        <f t="shared" si="1"/>
        <v>6815</v>
      </c>
      <c r="I20" s="775">
        <f>('Tab_3_5_-_hjemmetjenester'!X22+'Tab_3_5_-_hjemmetjenester'!Y22)/'Tab_3_6_-_andel_mottakere_hj_tj'!C20</f>
        <v>1.0342481288273985E-2</v>
      </c>
      <c r="J20" s="587">
        <f>'Tab_3_5_-_hjemmetjenester'!Z22/'Tab_3_6_-_andel_mottakere_hj_tj'!D20</f>
        <v>5.6416464891041164E-2</v>
      </c>
      <c r="K20" s="587">
        <f>'Tab_3_5_-_hjemmetjenester'!AA22/'Tab_3_6_-_andel_mottakere_hj_tj'!E20</f>
        <v>0.2655721873491067</v>
      </c>
      <c r="L20" s="587">
        <f>'Tab_3_5_-_hjemmetjenester'!AB22/'Tab_3_6_-_andel_mottakere_hj_tj'!F20</f>
        <v>0.4560260586319218</v>
      </c>
      <c r="M20" s="587">
        <f>('Tab_3_5_-_hjemmetjenester'!AA22+'Tab_3_5_-_hjemmetjenester'!AB22)/'Tab_3_6_-_andel_mottakere_hj_tj'!G20</f>
        <v>0.30912476722532589</v>
      </c>
      <c r="N20" s="588">
        <f>('Tab_3_5_-_hjemmetjenester'!Z22+'Tab_3_5_-_hjemmetjenester'!AA22+'Tab_3_5_-_hjemmetjenester'!AB22)/'Tab_3_6_-_andel_mottakere_hj_tj'!H20</f>
        <v>0.15597945707997066</v>
      </c>
    </row>
    <row r="21" spans="1:15" x14ac:dyDescent="0.3">
      <c r="A21" s="461">
        <v>14</v>
      </c>
      <c r="B21" s="462" t="s">
        <v>27</v>
      </c>
      <c r="C21" s="489">
        <f>kriteriebefolkning!C18+kriteriebefolkning!D18+kriteriebefolkning!E18+kriteriebefolkning!F18+kriteriebefolkning!G18+kriteriebefolkning!H18+kriteriebefolkning!I18+kriteriebefolkning!J18+kriteriebefolkning!K18+kriteriebefolkning!L18+kriteriebefolkning!M18</f>
        <v>44816</v>
      </c>
      <c r="D21" s="482">
        <f>kriteriebefolkning!N18+kriteriebefolkning!O18</f>
        <v>5297</v>
      </c>
      <c r="E21" s="482">
        <f>kriteriebefolkning!P18+kriteriebefolkning!Q18</f>
        <v>1820</v>
      </c>
      <c r="F21" s="490">
        <f>kriteriebefolkning!R18+kriteriebefolkning!S18</f>
        <v>641</v>
      </c>
      <c r="G21" s="636">
        <f t="shared" si="0"/>
        <v>2461</v>
      </c>
      <c r="H21" s="1501">
        <f t="shared" si="1"/>
        <v>7758</v>
      </c>
      <c r="I21" s="775">
        <f>('Tab_3_5_-_hjemmetjenester'!X23+'Tab_3_5_-_hjemmetjenester'!Y23)/'Tab_3_6_-_andel_mottakere_hj_tj'!C21</f>
        <v>1.0107997143877187E-2</v>
      </c>
      <c r="J21" s="587">
        <f>'Tab_3_5_-_hjemmetjenester'!Z23/'Tab_3_6_-_andel_mottakere_hj_tj'!D21</f>
        <v>5.3615253917311687E-2</v>
      </c>
      <c r="K21" s="587">
        <f>'Tab_3_5_-_hjemmetjenester'!AA23/'Tab_3_6_-_andel_mottakere_hj_tj'!E21</f>
        <v>0.23516483516483516</v>
      </c>
      <c r="L21" s="587">
        <f>'Tab_3_5_-_hjemmetjenester'!AB23/'Tab_3_6_-_andel_mottakere_hj_tj'!F21</f>
        <v>0.47737909516380655</v>
      </c>
      <c r="M21" s="587">
        <f>('Tab_3_5_-_hjemmetjenester'!AA23+'Tab_3_5_-_hjemmetjenester'!AB23)/'Tab_3_6_-_andel_mottakere_hj_tj'!G21</f>
        <v>0.29825274278748476</v>
      </c>
      <c r="N21" s="588">
        <f>('Tab_3_5_-_hjemmetjenester'!Z23+'Tab_3_5_-_hjemmetjenester'!AA23+'Tab_3_5_-_hjemmetjenester'!AB23)/'Tab_3_6_-_andel_mottakere_hj_tj'!H21</f>
        <v>0.13121938643980408</v>
      </c>
    </row>
    <row r="22" spans="1:15" ht="14.25" customHeight="1" thickBot="1" x14ac:dyDescent="0.35">
      <c r="A22" s="466">
        <v>15</v>
      </c>
      <c r="B22" s="467" t="s">
        <v>28</v>
      </c>
      <c r="C22" s="615">
        <f>kriteriebefolkning!C19+kriteriebefolkning!D19+kriteriebefolkning!E19+kriteriebefolkning!F19+kriteriebefolkning!G19+kriteriebefolkning!H19+kriteriebefolkning!I19+kriteriebefolkning!J19+kriteriebefolkning!K19+kriteriebefolkning!L19+kriteriebefolkning!M19</f>
        <v>35445</v>
      </c>
      <c r="D22" s="486">
        <f>kriteriebefolkning!N19+kriteriebefolkning!O19</f>
        <v>2978</v>
      </c>
      <c r="E22" s="486">
        <f>kriteriebefolkning!P19+kriteriebefolkning!Q19</f>
        <v>563</v>
      </c>
      <c r="F22" s="1361">
        <f>kriteriebefolkning!R19+kriteriebefolkning!S19</f>
        <v>123</v>
      </c>
      <c r="G22" s="637">
        <f t="shared" si="0"/>
        <v>686</v>
      </c>
      <c r="H22" s="1502">
        <f t="shared" si="1"/>
        <v>3664</v>
      </c>
      <c r="I22" s="1504">
        <f>('Tab_3_5_-_hjemmetjenester'!X24+'Tab_3_5_-_hjemmetjenester'!Y24)/'Tab_3_6_-_andel_mottakere_hj_tj'!C22</f>
        <v>1.441670193257159E-2</v>
      </c>
      <c r="J22" s="590">
        <f>'Tab_3_5_-_hjemmetjenester'!Z24/'Tab_3_6_-_andel_mottakere_hj_tj'!D22</f>
        <v>6.178643384822028E-2</v>
      </c>
      <c r="K22" s="590">
        <f>'Tab_3_5_-_hjemmetjenester'!AA24/'Tab_3_6_-_andel_mottakere_hj_tj'!E22</f>
        <v>0.23623445825932504</v>
      </c>
      <c r="L22" s="590">
        <f>'Tab_3_5_-_hjemmetjenester'!AB24/'Tab_3_6_-_andel_mottakere_hj_tj'!F22</f>
        <v>0.48780487804878048</v>
      </c>
      <c r="M22" s="590">
        <f>('Tab_3_5_-_hjemmetjenester'!AA24+'Tab_3_5_-_hjemmetjenester'!AB24)/'Tab_3_6_-_andel_mottakere_hj_tj'!G22</f>
        <v>0.28134110787172012</v>
      </c>
      <c r="N22" s="591">
        <f>('Tab_3_5_-_hjemmetjenester'!Z24+'Tab_3_5_-_hjemmetjenester'!AA24+'Tab_3_5_-_hjemmetjenester'!AB24)/'Tab_3_6_-_andel_mottakere_hj_tj'!H22</f>
        <v>0.10289301310043668</v>
      </c>
    </row>
    <row r="23" spans="1:15" s="585" customFormat="1" x14ac:dyDescent="0.3">
      <c r="A23" s="484"/>
      <c r="B23" s="663" t="s">
        <v>543</v>
      </c>
      <c r="C23" s="844">
        <f t="shared" ref="C23:H23" si="2">SUM(C8:C22)</f>
        <v>614823</v>
      </c>
      <c r="D23" s="845">
        <f t="shared" si="2"/>
        <v>55034</v>
      </c>
      <c r="E23" s="845">
        <f t="shared" si="2"/>
        <v>16459</v>
      </c>
      <c r="F23" s="846">
        <f t="shared" si="2"/>
        <v>4856</v>
      </c>
      <c r="G23" s="664">
        <f t="shared" si="2"/>
        <v>21315</v>
      </c>
      <c r="H23" s="770">
        <f t="shared" si="2"/>
        <v>76349</v>
      </c>
      <c r="I23" s="1503">
        <f>('Tab_3_5_-_hjemmetjenester'!X25+'Tab_3_5_-_hjemmetjenester'!Y25)/'Tab_3_6_-_andel_mottakere_hj_tj'!C23</f>
        <v>1.0422511844872426E-2</v>
      </c>
      <c r="J23" s="1498">
        <f>'Tab_3_5_-_hjemmetjenester'!Z25/'Tab_3_6_-_andel_mottakere_hj_tj'!D23</f>
        <v>6.0108296689319329E-2</v>
      </c>
      <c r="K23" s="1498">
        <f>'Tab_3_5_-_hjemmetjenester'!AA25/'Tab_3_6_-_andel_mottakere_hj_tj'!E23</f>
        <v>0.23470441703627196</v>
      </c>
      <c r="L23" s="1498">
        <f>'Tab_3_5_-_hjemmetjenester'!AB25/'Tab_3_6_-_andel_mottakere_hj_tj'!F23</f>
        <v>0.41700988467874794</v>
      </c>
      <c r="M23" s="1498">
        <f>('Tab_3_5_-_hjemmetjenester'!AA25+'Tab_3_5_-_hjemmetjenester'!AB25)/'Tab_3_6_-_andel_mottakere_hj_tj'!G23</f>
        <v>0.27623739150832749</v>
      </c>
      <c r="N23" s="1499">
        <f>('Tab_3_5_-_hjemmetjenester'!Z25+'Tab_3_5_-_hjemmetjenester'!AA25+'Tab_3_5_-_hjemmetjenester'!AB25)/'Tab_3_6_-_andel_mottakere_hj_tj'!H23</f>
        <v>0.12044689517871877</v>
      </c>
      <c r="O23" s="60"/>
    </row>
    <row r="24" spans="1:15" x14ac:dyDescent="0.3">
      <c r="A24" s="613"/>
      <c r="B24" s="611" t="s">
        <v>454</v>
      </c>
      <c r="C24" s="661">
        <v>604219</v>
      </c>
      <c r="D24" s="610">
        <v>53574</v>
      </c>
      <c r="E24" s="610">
        <v>16141</v>
      </c>
      <c r="F24" s="902">
        <v>4796</v>
      </c>
      <c r="G24" s="661">
        <v>20937</v>
      </c>
      <c r="H24" s="902">
        <v>74511</v>
      </c>
      <c r="I24" s="903">
        <v>1.0610391265418665E-2</v>
      </c>
      <c r="J24" s="904">
        <v>6.266099227237093E-2</v>
      </c>
      <c r="K24" s="905">
        <v>0.24000991264481755</v>
      </c>
      <c r="L24" s="905">
        <v>0.42535446205170974</v>
      </c>
      <c r="M24" s="905">
        <v>0.2824664469599274</v>
      </c>
      <c r="N24" s="906">
        <v>0.12442458160540054</v>
      </c>
    </row>
    <row r="25" spans="1:15" x14ac:dyDescent="0.3">
      <c r="A25" s="613"/>
      <c r="B25" s="611" t="s">
        <v>414</v>
      </c>
      <c r="C25" s="661">
        <v>600523</v>
      </c>
      <c r="D25" s="610">
        <v>52087.363489823998</v>
      </c>
      <c r="E25" s="610">
        <v>16088.389025033806</v>
      </c>
      <c r="F25" s="902">
        <v>4839.6222896809222</v>
      </c>
      <c r="G25" s="661">
        <v>20928.011314714728</v>
      </c>
      <c r="H25" s="902">
        <v>73015.374804538718</v>
      </c>
      <c r="I25" s="903">
        <v>1.0675694353088891E-2</v>
      </c>
      <c r="J25" s="904">
        <v>6.4449412968576106E-2</v>
      </c>
      <c r="K25" s="905">
        <v>0.24079477404306859</v>
      </c>
      <c r="L25" s="905">
        <v>0.42152049847974765</v>
      </c>
      <c r="M25" s="905">
        <v>0.28258776770833444</v>
      </c>
      <c r="N25" s="906">
        <v>0.10556680727359441</v>
      </c>
    </row>
    <row r="26" spans="1:15" s="585" customFormat="1" x14ac:dyDescent="0.3">
      <c r="A26" s="613"/>
      <c r="B26" s="611" t="s">
        <v>366</v>
      </c>
      <c r="C26" s="661">
        <v>591892</v>
      </c>
      <c r="D26" s="610">
        <v>50499</v>
      </c>
      <c r="E26" s="610">
        <v>15998</v>
      </c>
      <c r="F26" s="902">
        <v>4965</v>
      </c>
      <c r="G26" s="661">
        <v>20963</v>
      </c>
      <c r="H26" s="902">
        <v>71462</v>
      </c>
      <c r="I26" s="903">
        <v>1.0309313185513574E-2</v>
      </c>
      <c r="J26" s="904">
        <v>6.4258698192043412E-2</v>
      </c>
      <c r="K26" s="905">
        <v>0.25565695711963998</v>
      </c>
      <c r="L26" s="905">
        <v>0.43705941591137965</v>
      </c>
      <c r="M26" s="905">
        <v>0.29862138052759624</v>
      </c>
      <c r="N26" s="906">
        <v>0.10949875458285523</v>
      </c>
      <c r="O26" s="60"/>
    </row>
    <row r="27" spans="1:15" x14ac:dyDescent="0.3">
      <c r="A27" s="481"/>
      <c r="B27" s="612" t="s">
        <v>333</v>
      </c>
      <c r="C27" s="489">
        <v>585090</v>
      </c>
      <c r="D27" s="482">
        <v>48562</v>
      </c>
      <c r="E27" s="482">
        <v>16205</v>
      </c>
      <c r="F27" s="771">
        <v>5015</v>
      </c>
      <c r="G27" s="489">
        <v>21220</v>
      </c>
      <c r="H27" s="771">
        <v>69782</v>
      </c>
      <c r="I27" s="774">
        <v>1.0118101488659863E-2</v>
      </c>
      <c r="J27" s="586">
        <v>6.6677649190725261E-2</v>
      </c>
      <c r="K27" s="587">
        <v>0.27065720456649184</v>
      </c>
      <c r="L27" s="587">
        <v>0.45004985044865403</v>
      </c>
      <c r="M27" s="587">
        <v>0.31305372290292177</v>
      </c>
      <c r="N27" s="588">
        <v>0.11576051130664068</v>
      </c>
    </row>
    <row r="28" spans="1:15" s="638" customFormat="1" x14ac:dyDescent="0.3">
      <c r="A28" s="767"/>
      <c r="B28" s="612" t="s">
        <v>298</v>
      </c>
      <c r="C28" s="769">
        <v>574518</v>
      </c>
      <c r="D28" s="768">
        <v>46503</v>
      </c>
      <c r="E28" s="768">
        <v>16527</v>
      </c>
      <c r="F28" s="772">
        <v>5055</v>
      </c>
      <c r="G28" s="769">
        <v>21582</v>
      </c>
      <c r="H28" s="772">
        <v>68085</v>
      </c>
      <c r="I28" s="775">
        <v>1.0361729310482874E-2</v>
      </c>
      <c r="J28" s="587">
        <v>6.8490204933015081E-2</v>
      </c>
      <c r="K28" s="587">
        <v>0.28825558177527683</v>
      </c>
      <c r="L28" s="587">
        <v>0.44431256181998025</v>
      </c>
      <c r="M28" s="587">
        <v>0.32480771012881104</v>
      </c>
      <c r="N28" s="588">
        <v>0.14973929646765072</v>
      </c>
    </row>
    <row r="29" spans="1:15" s="585" customFormat="1" ht="12" thickBot="1" x14ac:dyDescent="0.35">
      <c r="A29" s="485"/>
      <c r="B29" s="614" t="s">
        <v>132</v>
      </c>
      <c r="C29" s="615">
        <v>555191</v>
      </c>
      <c r="D29" s="486">
        <v>41315</v>
      </c>
      <c r="E29" s="486">
        <v>17503</v>
      </c>
      <c r="F29" s="773">
        <v>4798</v>
      </c>
      <c r="G29" s="615">
        <v>22301</v>
      </c>
      <c r="H29" s="773">
        <v>63616</v>
      </c>
      <c r="I29" s="776">
        <v>1.0322573672844121E-2</v>
      </c>
      <c r="J29" s="589">
        <v>7.6146677961999268E-2</v>
      </c>
      <c r="K29" s="590">
        <v>0.28960749585785295</v>
      </c>
      <c r="L29" s="590">
        <v>0.45706544393497289</v>
      </c>
      <c r="M29" s="590">
        <v>0.32563562172099908</v>
      </c>
      <c r="N29" s="591">
        <v>0.1636066398390342</v>
      </c>
      <c r="O29" s="60"/>
    </row>
    <row r="30" spans="1:15" s="585" customFormat="1" x14ac:dyDescent="0.3">
      <c r="A30" s="598" t="s">
        <v>372</v>
      </c>
      <c r="B30" s="599"/>
      <c r="C30" s="600"/>
      <c r="D30" s="600"/>
      <c r="E30" s="600"/>
      <c r="F30" s="600"/>
      <c r="G30" s="600"/>
      <c r="H30" s="600"/>
      <c r="I30" s="601"/>
      <c r="J30" s="601"/>
      <c r="K30" s="602"/>
      <c r="L30" s="602"/>
      <c r="M30" s="602"/>
      <c r="N30" s="602"/>
      <c r="O30" s="60"/>
    </row>
    <row r="31" spans="1:15" s="585" customFormat="1" x14ac:dyDescent="0.3">
      <c r="A31" s="413" t="s">
        <v>576</v>
      </c>
      <c r="B31" s="599"/>
      <c r="C31" s="600"/>
      <c r="D31" s="600"/>
      <c r="E31" s="600"/>
      <c r="F31" s="600"/>
      <c r="G31" s="600"/>
      <c r="H31" s="600"/>
      <c r="I31" s="601"/>
      <c r="J31" s="601"/>
      <c r="K31" s="602"/>
      <c r="L31" s="602"/>
      <c r="M31" s="602"/>
      <c r="N31" s="602"/>
      <c r="O31" s="60"/>
    </row>
    <row r="32" spans="1:15" s="585" customFormat="1" x14ac:dyDescent="0.3">
      <c r="A32" s="1278" t="s">
        <v>577</v>
      </c>
      <c r="B32" s="599"/>
      <c r="C32" s="600"/>
      <c r="D32" s="600"/>
      <c r="E32" s="600"/>
      <c r="F32" s="600"/>
      <c r="G32" s="600"/>
      <c r="H32" s="600"/>
      <c r="I32" s="601"/>
      <c r="J32" s="601"/>
      <c r="K32" s="602"/>
      <c r="L32" s="602"/>
      <c r="M32" s="602"/>
      <c r="N32" s="602"/>
      <c r="O32" s="60"/>
    </row>
    <row r="33" spans="1:15" s="585" customFormat="1" x14ac:dyDescent="0.3">
      <c r="A33" s="1" t="s">
        <v>578</v>
      </c>
      <c r="B33" s="599"/>
      <c r="C33" s="600"/>
      <c r="D33" s="600"/>
      <c r="E33" s="600"/>
      <c r="F33" s="600"/>
      <c r="G33" s="600"/>
      <c r="H33" s="600"/>
      <c r="I33" s="601"/>
      <c r="J33" s="601"/>
      <c r="K33" s="602"/>
      <c r="L33" s="602"/>
      <c r="M33" s="602"/>
      <c r="N33" s="602"/>
      <c r="O33" s="60"/>
    </row>
    <row r="34" spans="1:15" s="585" customFormat="1" x14ac:dyDescent="0.3">
      <c r="A34" s="598" t="s">
        <v>533</v>
      </c>
      <c r="B34" s="599"/>
      <c r="C34" s="600"/>
      <c r="D34" s="600"/>
      <c r="E34" s="600"/>
      <c r="F34" s="600"/>
      <c r="G34" s="600"/>
      <c r="H34" s="600"/>
      <c r="I34" s="601"/>
      <c r="J34" s="601"/>
      <c r="K34" s="602"/>
      <c r="L34" s="602"/>
      <c r="M34" s="602"/>
      <c r="N34" s="602"/>
      <c r="O34" s="60"/>
    </row>
    <row r="35" spans="1:15" s="585" customFormat="1" x14ac:dyDescent="0.3">
      <c r="A35" s="598" t="s">
        <v>534</v>
      </c>
      <c r="B35" s="599"/>
      <c r="C35" s="600"/>
      <c r="D35" s="600"/>
      <c r="E35" s="600"/>
      <c r="F35" s="600"/>
      <c r="G35" s="600"/>
      <c r="H35" s="600"/>
      <c r="I35" s="601"/>
      <c r="J35" s="601"/>
      <c r="K35" s="602"/>
      <c r="L35" s="602"/>
      <c r="M35" s="602"/>
      <c r="N35" s="602"/>
      <c r="O35" s="60"/>
    </row>
    <row r="36" spans="1:15" s="597" customFormat="1" ht="22.5" customHeight="1" x14ac:dyDescent="0.3">
      <c r="A36" s="61"/>
      <c r="B36" s="592"/>
      <c r="C36" s="593"/>
      <c r="D36" s="593"/>
      <c r="E36" s="593"/>
      <c r="F36" s="593"/>
      <c r="G36" s="593"/>
      <c r="H36" s="593"/>
      <c r="I36" s="594"/>
      <c r="J36" s="594"/>
      <c r="K36" s="595"/>
      <c r="L36" s="595"/>
      <c r="M36" s="595"/>
      <c r="N36" s="595"/>
      <c r="O36" s="596"/>
    </row>
    <row r="42" spans="1:15" x14ac:dyDescent="0.3">
      <c r="O42" s="60" t="s">
        <v>108</v>
      </c>
    </row>
    <row r="52" spans="1:1" x14ac:dyDescent="0.3">
      <c r="A52" s="60"/>
    </row>
  </sheetData>
  <mergeCells count="2">
    <mergeCell ref="C6:H6"/>
    <mergeCell ref="I6:N6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M41"/>
  <sheetViews>
    <sheetView showGridLines="0" zoomScaleNormal="100" workbookViewId="0">
      <selection activeCell="J26" sqref="J26"/>
    </sheetView>
  </sheetViews>
  <sheetFormatPr baseColWidth="10" defaultColWidth="11.4609375" defaultRowHeight="12.45" x14ac:dyDescent="0.3"/>
  <cols>
    <col min="1" max="1" width="6.07421875" style="214" bestFit="1" customWidth="1"/>
    <col min="2" max="2" width="34.07421875" style="85" customWidth="1"/>
    <col min="3" max="3" width="11.84375" style="85" customWidth="1"/>
    <col min="4" max="4" width="11.3046875" style="85" customWidth="1"/>
    <col min="5" max="5" width="12.4609375" style="85" customWidth="1"/>
    <col min="6" max="6" width="11.53515625" style="85" customWidth="1"/>
    <col min="7" max="7" width="12.4609375" style="85" customWidth="1"/>
    <col min="8" max="8" width="11" style="85" customWidth="1"/>
    <col min="9" max="16384" width="11.4609375" style="85"/>
  </cols>
  <sheetData>
    <row r="1" spans="1:13" x14ac:dyDescent="0.3">
      <c r="A1" s="187"/>
      <c r="B1" s="188"/>
    </row>
    <row r="2" spans="1:13" x14ac:dyDescent="0.3">
      <c r="A2" s="189" t="s">
        <v>0</v>
      </c>
    </row>
    <row r="3" spans="1:13" x14ac:dyDescent="0.3">
      <c r="A3" s="189"/>
    </row>
    <row r="4" spans="1:13" x14ac:dyDescent="0.3">
      <c r="A4" s="189" t="str">
        <f>A7</f>
        <v>Tabell 3 -7 - A1 -  Saksbehandlingstider i pleie- og omsorgssektoren - hjemmetjenester hittil i år</v>
      </c>
    </row>
    <row r="5" spans="1:13" x14ac:dyDescent="0.3">
      <c r="A5" s="189"/>
    </row>
    <row r="7" spans="1:13" s="190" customFormat="1" ht="30" customHeight="1" thickBot="1" x14ac:dyDescent="0.35">
      <c r="A7" s="7" t="s">
        <v>125</v>
      </c>
    </row>
    <row r="8" spans="1:13" s="194" customFormat="1" ht="26.25" customHeight="1" thickBot="1" x14ac:dyDescent="0.35">
      <c r="A8" s="191"/>
      <c r="B8" s="192"/>
      <c r="C8" s="1690" t="s">
        <v>30</v>
      </c>
      <c r="D8" s="1691"/>
      <c r="E8" s="1692" t="s">
        <v>60</v>
      </c>
      <c r="F8" s="1693"/>
      <c r="G8" s="190"/>
      <c r="H8" s="193"/>
    </row>
    <row r="9" spans="1:13" s="194" customFormat="1" ht="82.5" customHeight="1" thickBot="1" x14ac:dyDescent="0.35">
      <c r="A9" s="195" t="s">
        <v>2</v>
      </c>
      <c r="B9" s="196" t="s">
        <v>3</v>
      </c>
      <c r="C9" s="197" t="s">
        <v>61</v>
      </c>
      <c r="D9" s="198" t="s">
        <v>62</v>
      </c>
      <c r="E9" s="199" t="s">
        <v>61</v>
      </c>
      <c r="F9" s="200" t="s">
        <v>62</v>
      </c>
      <c r="G9" s="190"/>
      <c r="H9" s="193"/>
    </row>
    <row r="10" spans="1:13" ht="12.9" x14ac:dyDescent="0.35">
      <c r="A10" s="201">
        <v>1</v>
      </c>
      <c r="B10" s="202" t="s">
        <v>14</v>
      </c>
      <c r="C10" s="1505">
        <v>28</v>
      </c>
      <c r="D10" s="1506">
        <v>10</v>
      </c>
      <c r="E10" s="1506">
        <v>10</v>
      </c>
      <c r="F10" s="911">
        <v>5</v>
      </c>
      <c r="H10" s="422"/>
      <c r="I10" s="421"/>
      <c r="J10" s="890"/>
      <c r="K10" s="890"/>
      <c r="L10" s="890"/>
      <c r="M10" s="890"/>
    </row>
    <row r="11" spans="1:13" ht="12.9" x14ac:dyDescent="0.35">
      <c r="A11" s="203">
        <v>2</v>
      </c>
      <c r="B11" s="204" t="s">
        <v>15</v>
      </c>
      <c r="C11" s="1507">
        <v>14</v>
      </c>
      <c r="D11" s="909">
        <v>7</v>
      </c>
      <c r="E11" s="909">
        <v>14</v>
      </c>
      <c r="F11" s="910">
        <v>2</v>
      </c>
      <c r="H11" s="422"/>
      <c r="I11" s="421"/>
      <c r="J11" s="890"/>
      <c r="K11" s="890"/>
      <c r="L11" s="890"/>
      <c r="M11" s="890"/>
    </row>
    <row r="12" spans="1:13" ht="12.9" x14ac:dyDescent="0.35">
      <c r="A12" s="203">
        <v>3</v>
      </c>
      <c r="B12" s="204" t="s">
        <v>16</v>
      </c>
      <c r="C12" s="1507">
        <v>34</v>
      </c>
      <c r="D12" s="909">
        <v>10</v>
      </c>
      <c r="E12" s="909">
        <v>16</v>
      </c>
      <c r="F12" s="910">
        <v>4</v>
      </c>
      <c r="H12" s="422"/>
      <c r="I12" s="421"/>
      <c r="J12" s="890"/>
      <c r="K12" s="890"/>
      <c r="L12" s="890"/>
      <c r="M12" s="890"/>
    </row>
    <row r="13" spans="1:13" ht="12.9" x14ac:dyDescent="0.35">
      <c r="A13" s="203">
        <v>4</v>
      </c>
      <c r="B13" s="204" t="s">
        <v>17</v>
      </c>
      <c r="C13" s="1507">
        <v>12</v>
      </c>
      <c r="D13" s="909">
        <v>4</v>
      </c>
      <c r="E13" s="909">
        <v>9</v>
      </c>
      <c r="F13" s="910">
        <v>3</v>
      </c>
      <c r="H13" s="422"/>
      <c r="I13" s="421"/>
      <c r="J13" s="890"/>
      <c r="K13" s="890"/>
      <c r="L13" s="890"/>
      <c r="M13" s="890"/>
    </row>
    <row r="14" spans="1:13" ht="12.9" x14ac:dyDescent="0.35">
      <c r="A14" s="203">
        <v>5</v>
      </c>
      <c r="B14" s="204" t="s">
        <v>18</v>
      </c>
      <c r="C14" s="1507">
        <v>33</v>
      </c>
      <c r="D14" s="909">
        <v>9</v>
      </c>
      <c r="E14" s="909">
        <v>7</v>
      </c>
      <c r="F14" s="910">
        <v>3</v>
      </c>
      <c r="H14" s="188"/>
      <c r="J14" s="890"/>
      <c r="K14" s="890"/>
      <c r="L14" s="890"/>
      <c r="M14" s="890"/>
    </row>
    <row r="15" spans="1:13" ht="12.9" x14ac:dyDescent="0.35">
      <c r="A15" s="206">
        <v>6</v>
      </c>
      <c r="B15" s="207" t="s">
        <v>19</v>
      </c>
      <c r="C15" s="1507">
        <v>49</v>
      </c>
      <c r="D15" s="909">
        <v>4</v>
      </c>
      <c r="E15" s="909">
        <v>18</v>
      </c>
      <c r="F15" s="910">
        <v>2</v>
      </c>
      <c r="H15" s="188"/>
      <c r="J15" s="890"/>
      <c r="K15" s="890"/>
      <c r="L15" s="890"/>
      <c r="M15" s="890"/>
    </row>
    <row r="16" spans="1:13" ht="12.9" x14ac:dyDescent="0.35">
      <c r="A16" s="206">
        <v>7</v>
      </c>
      <c r="B16" s="207" t="s">
        <v>20</v>
      </c>
      <c r="C16" s="1507">
        <v>38.5</v>
      </c>
      <c r="D16" s="909">
        <v>5.9</v>
      </c>
      <c r="E16" s="909">
        <v>6.5</v>
      </c>
      <c r="F16" s="910">
        <v>4.2</v>
      </c>
      <c r="H16" s="188"/>
      <c r="J16" s="890"/>
      <c r="K16" s="890"/>
      <c r="L16" s="890"/>
      <c r="M16" s="890"/>
    </row>
    <row r="17" spans="1:13" ht="12.9" x14ac:dyDescent="0.35">
      <c r="A17" s="203">
        <v>8</v>
      </c>
      <c r="B17" s="204" t="s">
        <v>21</v>
      </c>
      <c r="C17" s="1507">
        <v>23</v>
      </c>
      <c r="D17" s="909">
        <v>9</v>
      </c>
      <c r="E17" s="909">
        <v>6</v>
      </c>
      <c r="F17" s="910">
        <v>1</v>
      </c>
      <c r="H17" s="188" t="s">
        <v>108</v>
      </c>
      <c r="J17" s="890"/>
      <c r="K17" s="890"/>
      <c r="L17" s="890"/>
      <c r="M17" s="890"/>
    </row>
    <row r="18" spans="1:13" ht="12.9" x14ac:dyDescent="0.35">
      <c r="A18" s="203">
        <v>9</v>
      </c>
      <c r="B18" s="204" t="s">
        <v>22</v>
      </c>
      <c r="C18" s="1507">
        <v>36.299999999999997</v>
      </c>
      <c r="D18" s="909">
        <v>5.4</v>
      </c>
      <c r="E18" s="909">
        <v>14.8</v>
      </c>
      <c r="F18" s="910">
        <v>4.0999999999999996</v>
      </c>
      <c r="H18" s="188"/>
      <c r="J18" s="890"/>
      <c r="K18" s="890"/>
      <c r="L18" s="890"/>
      <c r="M18" s="890"/>
    </row>
    <row r="19" spans="1:13" ht="12.9" x14ac:dyDescent="0.35">
      <c r="A19" s="203">
        <v>10</v>
      </c>
      <c r="B19" s="204" t="s">
        <v>23</v>
      </c>
      <c r="C19" s="1507">
        <v>45.9</v>
      </c>
      <c r="D19" s="909">
        <v>9.8000000000000007</v>
      </c>
      <c r="E19" s="909">
        <v>9.6999999999999993</v>
      </c>
      <c r="F19" s="910">
        <v>2.1</v>
      </c>
      <c r="H19" s="188"/>
      <c r="J19" s="890"/>
      <c r="K19" s="890"/>
      <c r="L19" s="890"/>
      <c r="M19" s="890"/>
    </row>
    <row r="20" spans="1:13" ht="12.9" x14ac:dyDescent="0.35">
      <c r="A20" s="206">
        <v>11</v>
      </c>
      <c r="B20" s="207" t="s">
        <v>24</v>
      </c>
      <c r="C20" s="1507">
        <v>17.600000000000001</v>
      </c>
      <c r="D20" s="909">
        <v>4.3</v>
      </c>
      <c r="E20" s="909">
        <v>2</v>
      </c>
      <c r="F20" s="910">
        <v>2</v>
      </c>
      <c r="H20" s="188"/>
      <c r="J20" s="890"/>
      <c r="K20" s="890"/>
      <c r="L20" s="890"/>
      <c r="M20" s="890"/>
    </row>
    <row r="21" spans="1:13" ht="12.9" x14ac:dyDescent="0.35">
      <c r="A21" s="203">
        <v>12</v>
      </c>
      <c r="B21" s="204" t="s">
        <v>25</v>
      </c>
      <c r="C21" s="1507">
        <v>39.9</v>
      </c>
      <c r="D21" s="909">
        <v>1.6</v>
      </c>
      <c r="E21" s="909">
        <v>5.7</v>
      </c>
      <c r="F21" s="910">
        <v>1</v>
      </c>
      <c r="G21" s="122"/>
      <c r="H21" s="188"/>
      <c r="J21" s="890"/>
      <c r="K21" s="890"/>
      <c r="L21" s="890"/>
      <c r="M21" s="890"/>
    </row>
    <row r="22" spans="1:13" ht="12.9" x14ac:dyDescent="0.35">
      <c r="A22" s="203">
        <v>13</v>
      </c>
      <c r="B22" s="204" t="s">
        <v>26</v>
      </c>
      <c r="C22" s="1507">
        <v>39</v>
      </c>
      <c r="D22" s="909">
        <v>7.3</v>
      </c>
      <c r="E22" s="909">
        <v>15.5</v>
      </c>
      <c r="F22" s="910">
        <v>2.6</v>
      </c>
      <c r="H22" s="188"/>
      <c r="J22" s="890"/>
      <c r="K22" s="890"/>
      <c r="L22" s="890"/>
      <c r="M22" s="890"/>
    </row>
    <row r="23" spans="1:13" ht="12.9" x14ac:dyDescent="0.35">
      <c r="A23" s="203">
        <v>14</v>
      </c>
      <c r="B23" s="204" t="s">
        <v>27</v>
      </c>
      <c r="C23" s="1507">
        <v>16.2</v>
      </c>
      <c r="D23" s="909">
        <v>6</v>
      </c>
      <c r="E23" s="909">
        <v>5.4</v>
      </c>
      <c r="F23" s="910">
        <v>3</v>
      </c>
      <c r="H23" s="188"/>
      <c r="J23" s="890"/>
      <c r="K23" s="890"/>
      <c r="L23" s="890"/>
      <c r="M23" s="890"/>
    </row>
    <row r="24" spans="1:13" ht="13.3" thickBot="1" x14ac:dyDescent="0.4">
      <c r="A24" s="208">
        <v>15</v>
      </c>
      <c r="B24" s="209" t="s">
        <v>28</v>
      </c>
      <c r="C24" s="1508">
        <v>28</v>
      </c>
      <c r="D24" s="1509">
        <v>23.9</v>
      </c>
      <c r="E24" s="1509">
        <v>12.6</v>
      </c>
      <c r="F24" s="912">
        <v>1.8</v>
      </c>
      <c r="H24" s="188"/>
      <c r="J24" s="890"/>
      <c r="K24" s="890"/>
      <c r="L24" s="890"/>
      <c r="M24" s="890"/>
    </row>
    <row r="25" spans="1:13" x14ac:dyDescent="0.3">
      <c r="A25" s="210"/>
      <c r="B25" s="717" t="s">
        <v>551</v>
      </c>
      <c r="C25" s="718">
        <f t="shared" ref="C25:F25" si="0">AVERAGE(C10:C24)</f>
        <v>30.293333333333333</v>
      </c>
      <c r="D25" s="777">
        <f t="shared" si="0"/>
        <v>7.8133333333333326</v>
      </c>
      <c r="E25" s="718">
        <f t="shared" si="0"/>
        <v>10.146666666666667</v>
      </c>
      <c r="F25" s="716">
        <f t="shared" si="0"/>
        <v>2.7199999999999998</v>
      </c>
      <c r="H25" s="188"/>
    </row>
    <row r="26" spans="1:13" s="415" customFormat="1" x14ac:dyDescent="0.3">
      <c r="A26" s="907"/>
      <c r="B26" s="908" t="s">
        <v>468</v>
      </c>
      <c r="C26" s="420">
        <v>26.853333333333335</v>
      </c>
      <c r="D26" s="909">
        <v>7.1933333333333325</v>
      </c>
      <c r="E26" s="420">
        <v>11.120000000000001</v>
      </c>
      <c r="F26" s="910">
        <v>3.4666666666666663</v>
      </c>
      <c r="H26" s="417"/>
    </row>
    <row r="27" spans="1:13" s="415" customFormat="1" x14ac:dyDescent="0.3">
      <c r="A27" s="907"/>
      <c r="B27" s="908" t="s">
        <v>416</v>
      </c>
      <c r="C27" s="420">
        <v>26.266666666666666</v>
      </c>
      <c r="D27" s="909">
        <v>9.0200000000000014</v>
      </c>
      <c r="E27" s="420">
        <v>8.3733333333333331</v>
      </c>
      <c r="F27" s="910">
        <v>3.1466666666666665</v>
      </c>
      <c r="H27" s="417"/>
    </row>
    <row r="28" spans="1:13" s="415" customFormat="1" x14ac:dyDescent="0.3">
      <c r="A28" s="907"/>
      <c r="B28" s="908" t="s">
        <v>373</v>
      </c>
      <c r="C28" s="420">
        <v>24.326666666666668</v>
      </c>
      <c r="D28" s="909">
        <v>6.98</v>
      </c>
      <c r="E28" s="420">
        <v>9.7200000000000006</v>
      </c>
      <c r="F28" s="910">
        <v>3.1733333333333333</v>
      </c>
      <c r="H28" s="417"/>
    </row>
    <row r="29" spans="1:13" s="415" customFormat="1" x14ac:dyDescent="0.3">
      <c r="A29" s="211"/>
      <c r="B29" s="639" t="s">
        <v>363</v>
      </c>
      <c r="C29" s="641">
        <v>24.073333333333327</v>
      </c>
      <c r="D29" s="778">
        <v>5.6799999999999988</v>
      </c>
      <c r="E29" s="641">
        <v>10.146666666666667</v>
      </c>
      <c r="F29" s="205">
        <v>2.1533333333333333</v>
      </c>
      <c r="H29" s="417"/>
    </row>
    <row r="30" spans="1:13" s="415" customFormat="1" ht="12.9" thickBot="1" x14ac:dyDescent="0.35">
      <c r="A30" s="212"/>
      <c r="B30" s="640" t="s">
        <v>362</v>
      </c>
      <c r="C30" s="642">
        <v>26.573333333333334</v>
      </c>
      <c r="D30" s="779">
        <v>5.1800000000000006</v>
      </c>
      <c r="E30" s="642">
        <v>9.3199999999999985</v>
      </c>
      <c r="F30" s="213">
        <v>1.4400000000000004</v>
      </c>
      <c r="H30" s="417"/>
    </row>
    <row r="31" spans="1:13" x14ac:dyDescent="0.3">
      <c r="A31" s="189" t="s">
        <v>36</v>
      </c>
    </row>
    <row r="32" spans="1:13" x14ac:dyDescent="0.3">
      <c r="A32" s="189" t="s">
        <v>105</v>
      </c>
    </row>
    <row r="41" spans="4:4" x14ac:dyDescent="0.3">
      <c r="D41" s="85" t="s">
        <v>108</v>
      </c>
    </row>
  </sheetData>
  <mergeCells count="2">
    <mergeCell ref="C8:D8"/>
    <mergeCell ref="E8:F8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2:E41"/>
  <sheetViews>
    <sheetView showGridLines="0" topLeftCell="A4" zoomScaleNormal="100" workbookViewId="0">
      <selection activeCell="J7" sqref="J7"/>
    </sheetView>
  </sheetViews>
  <sheetFormatPr baseColWidth="10" defaultRowHeight="12.45" x14ac:dyDescent="0.3"/>
  <cols>
    <col min="1" max="1" width="5.07421875" customWidth="1"/>
    <col min="2" max="2" width="23.4609375" customWidth="1"/>
    <col min="3" max="3" width="21" customWidth="1"/>
    <col min="4" max="4" width="16.4609375" customWidth="1"/>
  </cols>
  <sheetData>
    <row r="2" spans="1:5" x14ac:dyDescent="0.3">
      <c r="A2" s="189" t="s">
        <v>0</v>
      </c>
      <c r="B2" s="415"/>
      <c r="C2" s="415"/>
      <c r="D2" s="415"/>
      <c r="E2" s="415"/>
    </row>
    <row r="3" spans="1:5" x14ac:dyDescent="0.3">
      <c r="A3" s="415" t="str">
        <f>A6</f>
        <v>Tabell 1 - 16 - B - Psykologer i bydelen 1)</v>
      </c>
      <c r="B3" s="415"/>
      <c r="C3" s="415"/>
      <c r="D3" s="415"/>
      <c r="E3" s="415"/>
    </row>
    <row r="4" spans="1:5" x14ac:dyDescent="0.3">
      <c r="A4" s="415"/>
      <c r="B4" s="415"/>
      <c r="C4" s="415"/>
      <c r="D4" s="415"/>
      <c r="E4" s="415"/>
    </row>
    <row r="5" spans="1:5" x14ac:dyDescent="0.3">
      <c r="A5" s="415"/>
      <c r="B5" s="415"/>
      <c r="C5" s="415"/>
      <c r="D5" s="415"/>
      <c r="E5" s="415"/>
    </row>
    <row r="6" spans="1:5" ht="12.9" thickBot="1" x14ac:dyDescent="0.35">
      <c r="A6" s="7" t="s">
        <v>406</v>
      </c>
      <c r="B6" s="415"/>
      <c r="C6" s="415"/>
      <c r="D6" s="415"/>
      <c r="E6" s="415"/>
    </row>
    <row r="7" spans="1:5" ht="12.9" thickBot="1" x14ac:dyDescent="0.35">
      <c r="A7" s="918"/>
      <c r="B7" s="919"/>
      <c r="C7" s="930" t="s">
        <v>399</v>
      </c>
      <c r="D7" s="931" t="s">
        <v>396</v>
      </c>
      <c r="E7" s="415"/>
    </row>
    <row r="8" spans="1:5" ht="12.9" thickBot="1" x14ac:dyDescent="0.35">
      <c r="A8" s="920" t="s">
        <v>39</v>
      </c>
      <c r="B8" s="196" t="s">
        <v>3</v>
      </c>
      <c r="C8" s="921" t="s">
        <v>407</v>
      </c>
      <c r="D8" s="932" t="s">
        <v>407</v>
      </c>
      <c r="E8" s="415"/>
    </row>
    <row r="9" spans="1:5" x14ac:dyDescent="0.3">
      <c r="A9" s="206">
        <v>1</v>
      </c>
      <c r="B9" s="207" t="s">
        <v>14</v>
      </c>
      <c r="C9" s="1158">
        <v>5</v>
      </c>
      <c r="D9" s="1151">
        <v>5</v>
      </c>
      <c r="E9" s="415"/>
    </row>
    <row r="10" spans="1:5" x14ac:dyDescent="0.3">
      <c r="A10" s="203">
        <v>2</v>
      </c>
      <c r="B10" s="204" t="s">
        <v>15</v>
      </c>
      <c r="C10" s="1159">
        <v>1</v>
      </c>
      <c r="D10" s="1152">
        <v>1</v>
      </c>
      <c r="E10" s="415"/>
    </row>
    <row r="11" spans="1:5" x14ac:dyDescent="0.3">
      <c r="A11" s="203">
        <v>3</v>
      </c>
      <c r="B11" s="204" t="s">
        <v>16</v>
      </c>
      <c r="C11" s="1159">
        <v>2</v>
      </c>
      <c r="D11" s="1152">
        <v>2</v>
      </c>
      <c r="E11" s="415"/>
    </row>
    <row r="12" spans="1:5" x14ac:dyDescent="0.3">
      <c r="A12" s="203">
        <v>4</v>
      </c>
      <c r="B12" s="204" t="s">
        <v>17</v>
      </c>
      <c r="C12" s="1159">
        <v>1</v>
      </c>
      <c r="D12" s="1152">
        <v>1</v>
      </c>
      <c r="E12" s="415"/>
    </row>
    <row r="13" spans="1:5" x14ac:dyDescent="0.3">
      <c r="A13" s="203">
        <v>5</v>
      </c>
      <c r="B13" s="204" t="s">
        <v>18</v>
      </c>
      <c r="C13" s="1159">
        <v>4</v>
      </c>
      <c r="D13" s="1152">
        <v>6</v>
      </c>
      <c r="E13" s="415"/>
    </row>
    <row r="14" spans="1:5" x14ac:dyDescent="0.3">
      <c r="A14" s="203">
        <v>6</v>
      </c>
      <c r="B14" s="204" t="s">
        <v>19</v>
      </c>
      <c r="C14" s="1159">
        <v>2</v>
      </c>
      <c r="D14" s="1152">
        <v>2</v>
      </c>
      <c r="E14" s="415"/>
    </row>
    <row r="15" spans="1:5" x14ac:dyDescent="0.3">
      <c r="A15" s="203">
        <v>7</v>
      </c>
      <c r="B15" s="204" t="s">
        <v>20</v>
      </c>
      <c r="C15" s="1159">
        <v>1</v>
      </c>
      <c r="D15" s="1152">
        <v>1</v>
      </c>
      <c r="E15" s="415"/>
    </row>
    <row r="16" spans="1:5" x14ac:dyDescent="0.3">
      <c r="A16" s="203">
        <v>8</v>
      </c>
      <c r="B16" s="204" t="s">
        <v>21</v>
      </c>
      <c r="C16" s="1159">
        <v>2.5</v>
      </c>
      <c r="D16" s="1152">
        <v>3</v>
      </c>
      <c r="E16" s="415"/>
    </row>
    <row r="17" spans="1:5" x14ac:dyDescent="0.3">
      <c r="A17" s="203">
        <v>9</v>
      </c>
      <c r="B17" s="204" t="s">
        <v>22</v>
      </c>
      <c r="C17" s="1159">
        <v>2</v>
      </c>
      <c r="D17" s="1152">
        <v>2</v>
      </c>
      <c r="E17" s="415"/>
    </row>
    <row r="18" spans="1:5" x14ac:dyDescent="0.3">
      <c r="A18" s="203">
        <v>10</v>
      </c>
      <c r="B18" s="204" t="s">
        <v>23</v>
      </c>
      <c r="C18" s="1159">
        <v>3</v>
      </c>
      <c r="D18" s="1152">
        <v>3</v>
      </c>
      <c r="E18" s="415"/>
    </row>
    <row r="19" spans="1:5" x14ac:dyDescent="0.3">
      <c r="A19" s="203">
        <v>11</v>
      </c>
      <c r="B19" s="204" t="s">
        <v>24</v>
      </c>
      <c r="C19" s="1159">
        <v>7</v>
      </c>
      <c r="D19" s="1152">
        <v>7</v>
      </c>
      <c r="E19" s="415"/>
    </row>
    <row r="20" spans="1:5" x14ac:dyDescent="0.3">
      <c r="A20" s="203">
        <v>12</v>
      </c>
      <c r="B20" s="204" t="s">
        <v>25</v>
      </c>
      <c r="C20" s="1159">
        <v>7.7</v>
      </c>
      <c r="D20" s="1152">
        <v>9</v>
      </c>
      <c r="E20" s="415"/>
    </row>
    <row r="21" spans="1:5" x14ac:dyDescent="0.3">
      <c r="A21" s="203">
        <v>13</v>
      </c>
      <c r="B21" s="204" t="s">
        <v>26</v>
      </c>
      <c r="C21" s="1159">
        <v>4.5</v>
      </c>
      <c r="D21" s="1152">
        <v>4.5</v>
      </c>
      <c r="E21" s="415"/>
    </row>
    <row r="22" spans="1:5" x14ac:dyDescent="0.3">
      <c r="A22" s="203">
        <v>14</v>
      </c>
      <c r="B22" s="204" t="s">
        <v>27</v>
      </c>
      <c r="C22" s="1159">
        <v>4.5</v>
      </c>
      <c r="D22" s="1152">
        <v>5</v>
      </c>
      <c r="E22" s="415"/>
    </row>
    <row r="23" spans="1:5" ht="12.9" thickBot="1" x14ac:dyDescent="0.35">
      <c r="A23" s="208">
        <v>15</v>
      </c>
      <c r="B23" s="209" t="s">
        <v>28</v>
      </c>
      <c r="C23" s="1160">
        <v>5</v>
      </c>
      <c r="D23" s="1153">
        <v>5</v>
      </c>
      <c r="E23" s="415"/>
    </row>
    <row r="24" spans="1:5" x14ac:dyDescent="0.3">
      <c r="A24" s="952"/>
      <c r="B24" s="953" t="s">
        <v>538</v>
      </c>
      <c r="C24" s="1154">
        <f>SUM(C9:C23)</f>
        <v>52.2</v>
      </c>
      <c r="D24" s="940">
        <f t="shared" ref="D24" si="0">SUM(D9:D23)</f>
        <v>56.5</v>
      </c>
      <c r="E24" s="415"/>
    </row>
    <row r="25" spans="1:5" s="415" customFormat="1" x14ac:dyDescent="0.3">
      <c r="A25" s="907"/>
      <c r="B25" s="1150" t="s">
        <v>497</v>
      </c>
      <c r="C25" s="1155">
        <v>61.5</v>
      </c>
      <c r="D25" s="1116">
        <v>63.4</v>
      </c>
    </row>
    <row r="26" spans="1:5" s="415" customFormat="1" x14ac:dyDescent="0.3">
      <c r="A26" s="907"/>
      <c r="B26" s="1150" t="s">
        <v>467</v>
      </c>
      <c r="C26" s="1155">
        <v>60.7</v>
      </c>
      <c r="D26" s="1116">
        <v>67</v>
      </c>
    </row>
    <row r="27" spans="1:5" s="415" customFormat="1" x14ac:dyDescent="0.3">
      <c r="A27" s="907"/>
      <c r="B27" s="1150" t="s">
        <v>413</v>
      </c>
      <c r="C27" s="1155">
        <v>44.9</v>
      </c>
      <c r="D27" s="1116">
        <v>56.5</v>
      </c>
    </row>
    <row r="28" spans="1:5" s="415" customFormat="1" x14ac:dyDescent="0.3">
      <c r="A28" s="211"/>
      <c r="B28" s="924" t="s">
        <v>397</v>
      </c>
      <c r="C28" s="1156">
        <v>47</v>
      </c>
      <c r="D28" s="926">
        <v>52</v>
      </c>
    </row>
    <row r="29" spans="1:5" ht="12.9" thickBot="1" x14ac:dyDescent="0.35">
      <c r="A29" s="212"/>
      <c r="B29" s="925" t="s">
        <v>398</v>
      </c>
      <c r="C29" s="1157">
        <v>40.4</v>
      </c>
      <c r="D29" s="937">
        <v>43</v>
      </c>
      <c r="E29" s="415"/>
    </row>
    <row r="30" spans="1:5" x14ac:dyDescent="0.3">
      <c r="A30" s="922" t="s">
        <v>408</v>
      </c>
      <c r="B30" s="415"/>
      <c r="C30" s="415"/>
      <c r="D30" s="415"/>
      <c r="E30" s="415"/>
    </row>
    <row r="41" spans="3:3" x14ac:dyDescent="0.3">
      <c r="C41" t="s">
        <v>108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>
    <tabColor rgb="FFFF0000"/>
  </sheetPr>
  <dimension ref="A1:J29"/>
  <sheetViews>
    <sheetView showGridLines="0" topLeftCell="A7" zoomScaleNormal="100" workbookViewId="0">
      <selection activeCell="F28" sqref="F28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4" width="16.3046875" style="2" customWidth="1"/>
    <col min="5" max="6" width="16.3046875" style="413" customWidth="1"/>
    <col min="7" max="7" width="26.4609375" style="2" customWidth="1"/>
    <col min="8" max="8" width="19.84375" style="2" customWidth="1"/>
    <col min="9" max="9" width="6.4609375" style="2" customWidth="1"/>
    <col min="10" max="10" width="7.07421875" style="2" customWidth="1"/>
    <col min="11" max="11" width="11.4609375" style="2" customWidth="1"/>
    <col min="12" max="16384" width="11.4609375" style="2"/>
  </cols>
  <sheetData>
    <row r="1" spans="1:10" x14ac:dyDescent="0.3">
      <c r="A1" s="107" t="s">
        <v>135</v>
      </c>
      <c r="B1" s="108"/>
    </row>
    <row r="2" spans="1:10" x14ac:dyDescent="0.3">
      <c r="A2" s="1" t="s">
        <v>0</v>
      </c>
    </row>
    <row r="3" spans="1:10" x14ac:dyDescent="0.3">
      <c r="A3" s="1"/>
    </row>
    <row r="4" spans="1:10" x14ac:dyDescent="0.3">
      <c r="A4" s="1"/>
    </row>
    <row r="5" spans="1:10" x14ac:dyDescent="0.3">
      <c r="A5" s="1" t="str">
        <f>A8</f>
        <v>Tabell 3-7 -  Brukerundersøkelse og kvalitetsmåling i hjemmetjenesten</v>
      </c>
    </row>
    <row r="6" spans="1:10" x14ac:dyDescent="0.3">
      <c r="A6" s="1"/>
    </row>
    <row r="8" spans="1:10" s="31" customFormat="1" ht="30" customHeight="1" thickBot="1" x14ac:dyDescent="0.35">
      <c r="A8" s="543" t="s">
        <v>214</v>
      </c>
    </row>
    <row r="9" spans="1:10" s="37" customFormat="1" ht="26.25" customHeight="1" thickBot="1" x14ac:dyDescent="0.35">
      <c r="A9" s="446"/>
      <c r="B9" s="447"/>
      <c r="C9" s="1673" t="s">
        <v>310</v>
      </c>
      <c r="D9" s="1651"/>
      <c r="E9" s="1694" t="s">
        <v>311</v>
      </c>
      <c r="F9" s="1695"/>
      <c r="G9" s="1652" t="s">
        <v>215</v>
      </c>
      <c r="H9" s="1673"/>
      <c r="I9" s="544"/>
    </row>
    <row r="10" spans="1:10" s="37" customFormat="1" ht="53.25" customHeight="1" thickBot="1" x14ac:dyDescent="0.35">
      <c r="A10" s="545" t="s">
        <v>2</v>
      </c>
      <c r="B10" s="546" t="s">
        <v>3</v>
      </c>
      <c r="C10" s="547" t="s">
        <v>216</v>
      </c>
      <c r="D10" s="847" t="s">
        <v>217</v>
      </c>
      <c r="E10" s="1018" t="s">
        <v>216</v>
      </c>
      <c r="F10" s="1019" t="s">
        <v>217</v>
      </c>
      <c r="G10" s="848" t="s">
        <v>218</v>
      </c>
      <c r="H10" s="548" t="s">
        <v>219</v>
      </c>
    </row>
    <row r="11" spans="1:10" s="6" customFormat="1" ht="12.9" customHeight="1" x14ac:dyDescent="0.35">
      <c r="A11" s="17">
        <v>1</v>
      </c>
      <c r="B11" s="18" t="s">
        <v>14</v>
      </c>
      <c r="C11" s="673"/>
      <c r="D11" s="677"/>
      <c r="E11" s="673"/>
      <c r="F11" s="852"/>
      <c r="G11" s="849"/>
      <c r="H11" s="719"/>
      <c r="I11" s="38"/>
      <c r="J11" s="38"/>
    </row>
    <row r="12" spans="1:10" s="6" customFormat="1" ht="12.9" customHeight="1" x14ac:dyDescent="0.35">
      <c r="A12" s="23">
        <v>2</v>
      </c>
      <c r="B12" s="24" t="s">
        <v>15</v>
      </c>
      <c r="C12" s="674"/>
      <c r="D12" s="678"/>
      <c r="E12" s="674"/>
      <c r="F12" s="853"/>
      <c r="G12" s="850"/>
      <c r="H12" s="720"/>
      <c r="I12" s="38"/>
      <c r="J12" s="38"/>
    </row>
    <row r="13" spans="1:10" s="6" customFormat="1" ht="12.9" customHeight="1" x14ac:dyDescent="0.35">
      <c r="A13" s="23">
        <v>3</v>
      </c>
      <c r="B13" s="24" t="s">
        <v>16</v>
      </c>
      <c r="C13" s="674"/>
      <c r="D13" s="678"/>
      <c r="E13" s="674"/>
      <c r="F13" s="853"/>
      <c r="G13" s="850"/>
      <c r="H13" s="720"/>
      <c r="I13" s="38"/>
      <c r="J13" s="38"/>
    </row>
    <row r="14" spans="1:10" s="6" customFormat="1" ht="12.9" customHeight="1" x14ac:dyDescent="0.35">
      <c r="A14" s="23">
        <v>4</v>
      </c>
      <c r="B14" s="24" t="s">
        <v>17</v>
      </c>
      <c r="C14" s="674"/>
      <c r="D14" s="678"/>
      <c r="E14" s="674"/>
      <c r="F14" s="853"/>
      <c r="G14" s="850"/>
      <c r="H14" s="720"/>
      <c r="I14" s="38"/>
      <c r="J14" s="38"/>
    </row>
    <row r="15" spans="1:10" s="6" customFormat="1" ht="12.9" customHeight="1" x14ac:dyDescent="0.35">
      <c r="A15" s="23">
        <v>5</v>
      </c>
      <c r="B15" s="24" t="s">
        <v>18</v>
      </c>
      <c r="C15" s="674"/>
      <c r="D15" s="678"/>
      <c r="E15" s="674"/>
      <c r="F15" s="853"/>
      <c r="G15" s="850"/>
      <c r="H15" s="720"/>
      <c r="I15" s="38"/>
      <c r="J15" s="38"/>
    </row>
    <row r="16" spans="1:10" s="6" customFormat="1" ht="12.9" customHeight="1" x14ac:dyDescent="0.35">
      <c r="A16" s="23">
        <v>6</v>
      </c>
      <c r="B16" s="24" t="s">
        <v>19</v>
      </c>
      <c r="C16" s="674"/>
      <c r="D16" s="678"/>
      <c r="E16" s="674"/>
      <c r="F16" s="853"/>
      <c r="G16" s="850"/>
      <c r="H16" s="720"/>
      <c r="I16" s="38"/>
      <c r="J16" s="38"/>
    </row>
    <row r="17" spans="1:10" s="6" customFormat="1" ht="12.9" customHeight="1" x14ac:dyDescent="0.35">
      <c r="A17" s="25">
        <v>7</v>
      </c>
      <c r="B17" s="26" t="s">
        <v>20</v>
      </c>
      <c r="C17" s="674"/>
      <c r="D17" s="678"/>
      <c r="E17" s="674"/>
      <c r="F17" s="853"/>
      <c r="G17" s="850"/>
      <c r="H17" s="720"/>
      <c r="I17" s="38"/>
      <c r="J17" s="38"/>
    </row>
    <row r="18" spans="1:10" s="6" customFormat="1" ht="12.9" customHeight="1" x14ac:dyDescent="0.35">
      <c r="A18" s="23">
        <v>8</v>
      </c>
      <c r="B18" s="24" t="s">
        <v>21</v>
      </c>
      <c r="C18" s="674"/>
      <c r="D18" s="678"/>
      <c r="E18" s="674"/>
      <c r="F18" s="853"/>
      <c r="G18" s="850"/>
      <c r="H18" s="720"/>
      <c r="I18" s="38"/>
      <c r="J18" s="38"/>
    </row>
    <row r="19" spans="1:10" s="6" customFormat="1" ht="12.9" customHeight="1" x14ac:dyDescent="0.35">
      <c r="A19" s="23">
        <v>9</v>
      </c>
      <c r="B19" s="24" t="s">
        <v>22</v>
      </c>
      <c r="C19" s="674"/>
      <c r="D19" s="678"/>
      <c r="E19" s="674"/>
      <c r="F19" s="853"/>
      <c r="G19" s="850"/>
      <c r="H19" s="720"/>
      <c r="I19" s="38"/>
      <c r="J19" s="38"/>
    </row>
    <row r="20" spans="1:10" s="6" customFormat="1" ht="12.9" customHeight="1" x14ac:dyDescent="0.35">
      <c r="A20" s="23">
        <v>10</v>
      </c>
      <c r="B20" s="24" t="s">
        <v>23</v>
      </c>
      <c r="C20" s="674"/>
      <c r="D20" s="678"/>
      <c r="E20" s="674"/>
      <c r="F20" s="853"/>
      <c r="G20" s="850"/>
      <c r="H20" s="720"/>
      <c r="I20" s="38"/>
      <c r="J20" s="38"/>
    </row>
    <row r="21" spans="1:10" s="6" customFormat="1" ht="12.9" x14ac:dyDescent="0.35">
      <c r="A21" s="25">
        <v>11</v>
      </c>
      <c r="B21" s="26" t="s">
        <v>24</v>
      </c>
      <c r="C21" s="674"/>
      <c r="D21" s="678"/>
      <c r="E21" s="674"/>
      <c r="F21" s="853"/>
      <c r="G21" s="850"/>
      <c r="H21" s="720"/>
      <c r="I21" s="38"/>
      <c r="J21" s="38"/>
    </row>
    <row r="22" spans="1:10" s="6" customFormat="1" ht="12.9" customHeight="1" x14ac:dyDescent="0.35">
      <c r="A22" s="23">
        <v>12</v>
      </c>
      <c r="B22" s="24" t="s">
        <v>25</v>
      </c>
      <c r="C22" s="674"/>
      <c r="D22" s="678"/>
      <c r="E22" s="674"/>
      <c r="F22" s="853"/>
      <c r="G22" s="850"/>
      <c r="H22" s="720"/>
      <c r="I22" s="38"/>
      <c r="J22" s="38"/>
    </row>
    <row r="23" spans="1:10" s="6" customFormat="1" ht="12.9" customHeight="1" x14ac:dyDescent="0.35">
      <c r="A23" s="23">
        <v>13</v>
      </c>
      <c r="B23" s="24" t="s">
        <v>26</v>
      </c>
      <c r="C23" s="675"/>
      <c r="D23" s="678"/>
      <c r="E23" s="675"/>
      <c r="F23" s="853"/>
      <c r="G23" s="850"/>
      <c r="H23" s="720"/>
      <c r="I23" s="38"/>
      <c r="J23" s="38"/>
    </row>
    <row r="24" spans="1:10" s="6" customFormat="1" ht="12.9" customHeight="1" x14ac:dyDescent="0.35">
      <c r="A24" s="23">
        <v>14</v>
      </c>
      <c r="B24" s="24" t="s">
        <v>27</v>
      </c>
      <c r="C24" s="675"/>
      <c r="D24" s="678"/>
      <c r="E24" s="675"/>
      <c r="F24" s="853"/>
      <c r="G24" s="850"/>
      <c r="H24" s="720"/>
      <c r="I24" s="38"/>
      <c r="J24" s="38"/>
    </row>
    <row r="25" spans="1:10" s="6" customFormat="1" ht="12.9" customHeight="1" thickBot="1" x14ac:dyDescent="0.4">
      <c r="A25" s="549">
        <v>15</v>
      </c>
      <c r="B25" s="550" t="s">
        <v>28</v>
      </c>
      <c r="C25" s="676"/>
      <c r="D25" s="679"/>
      <c r="E25" s="676"/>
      <c r="F25" s="854"/>
      <c r="G25" s="851"/>
      <c r="H25" s="721"/>
      <c r="I25" s="38"/>
      <c r="J25" s="38"/>
    </row>
    <row r="26" spans="1:10" s="39" customFormat="1" ht="22.5" customHeight="1" x14ac:dyDescent="0.3">
      <c r="A26" s="42" t="s">
        <v>430</v>
      </c>
      <c r="B26" s="6"/>
      <c r="C26" s="6"/>
      <c r="D26" s="6"/>
      <c r="E26" s="6"/>
      <c r="F26" s="6"/>
      <c r="G26" s="6"/>
      <c r="H26" s="6"/>
      <c r="I26" s="551"/>
      <c r="J26" s="551"/>
    </row>
    <row r="27" spans="1:10" s="6" customFormat="1" x14ac:dyDescent="0.3">
      <c r="A27" s="42"/>
    </row>
    <row r="28" spans="1:10" s="6" customFormat="1" x14ac:dyDescent="0.3">
      <c r="A28" s="552"/>
    </row>
    <row r="29" spans="1:10" s="6" customFormat="1" x14ac:dyDescent="0.3">
      <c r="A29" s="552"/>
    </row>
  </sheetData>
  <mergeCells count="3">
    <mergeCell ref="C9:D9"/>
    <mergeCell ref="G9:H9"/>
    <mergeCell ref="E9:F9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8"/>
  <dimension ref="A1:AG48"/>
  <sheetViews>
    <sheetView showGridLines="0" zoomScale="70" zoomScaleNormal="70" workbookViewId="0">
      <selection activeCell="R4" sqref="R4"/>
    </sheetView>
  </sheetViews>
  <sheetFormatPr baseColWidth="10" defaultRowHeight="12.45" x14ac:dyDescent="0.3"/>
  <cols>
    <col min="1" max="1" width="5.53515625" customWidth="1"/>
    <col min="2" max="2" width="21.4609375" customWidth="1"/>
    <col min="3" max="3" width="8.69140625" customWidth="1"/>
    <col min="4" max="4" width="8.69140625" style="412" customWidth="1"/>
    <col min="5" max="5" width="9.53515625" customWidth="1"/>
    <col min="6" max="6" width="11.07421875" customWidth="1"/>
    <col min="7" max="7" width="11" customWidth="1"/>
    <col min="8" max="8" width="11.84375" customWidth="1"/>
    <col min="9" max="9" width="9.3046875" style="412" customWidth="1"/>
    <col min="10" max="10" width="11.69140625" customWidth="1"/>
    <col min="11" max="11" width="10.69140625" customWidth="1"/>
    <col min="12" max="12" width="11.07421875" customWidth="1"/>
    <col min="13" max="13" width="10" customWidth="1"/>
    <col min="14" max="14" width="9.4609375" style="412" customWidth="1"/>
    <col min="15" max="15" width="8.69140625" customWidth="1"/>
    <col min="16" max="16" width="11.53515625" customWidth="1"/>
    <col min="17" max="17" width="10.84375" customWidth="1"/>
    <col min="18" max="18" width="11.4609375" customWidth="1"/>
    <col min="26" max="26" width="20.53515625" customWidth="1"/>
  </cols>
  <sheetData>
    <row r="1" spans="1:33" x14ac:dyDescent="0.3">
      <c r="A1" s="51"/>
      <c r="B1" s="6"/>
      <c r="C1" s="2"/>
      <c r="D1" s="413"/>
      <c r="E1" s="2"/>
      <c r="F1" s="2"/>
      <c r="G1" s="2"/>
      <c r="H1" s="2"/>
      <c r="I1" s="413"/>
      <c r="J1" s="2"/>
      <c r="K1" s="2"/>
      <c r="L1" s="2"/>
    </row>
    <row r="2" spans="1:33" x14ac:dyDescent="0.3">
      <c r="A2" s="1" t="s">
        <v>0</v>
      </c>
      <c r="B2" s="2"/>
      <c r="C2" s="2"/>
      <c r="D2" s="413"/>
      <c r="E2" s="2"/>
      <c r="F2" s="2"/>
      <c r="G2" s="2"/>
      <c r="H2" s="2"/>
      <c r="I2" s="413"/>
      <c r="J2" s="2"/>
      <c r="K2" s="2"/>
      <c r="L2" s="2"/>
    </row>
    <row r="3" spans="1:33" x14ac:dyDescent="0.3">
      <c r="A3" s="5"/>
      <c r="B3" s="2"/>
      <c r="C3" s="2"/>
      <c r="D3" s="413"/>
      <c r="E3" s="2"/>
      <c r="F3" s="2"/>
      <c r="G3" s="2"/>
      <c r="H3" s="2"/>
      <c r="I3" s="413"/>
      <c r="J3" s="2"/>
      <c r="K3" s="2"/>
      <c r="L3" s="2"/>
    </row>
    <row r="4" spans="1:33" x14ac:dyDescent="0.3">
      <c r="A4" s="1" t="str">
        <f>A7</f>
        <v>Tabell 3-8-A - Antall personer som har hatt dagsenter/dagsopphold/dagtilbud og totalt antall vedtakstimer, fordelt på type tjeneste - hittil i år</v>
      </c>
      <c r="B4" s="2"/>
      <c r="C4" s="2"/>
      <c r="D4" s="413"/>
      <c r="E4" s="2"/>
      <c r="F4" s="2"/>
      <c r="G4" s="2"/>
      <c r="H4" s="2"/>
      <c r="I4" s="413"/>
      <c r="J4" s="2"/>
      <c r="K4" s="2"/>
      <c r="L4" s="2"/>
    </row>
    <row r="5" spans="1:33" x14ac:dyDescent="0.3">
      <c r="A5" s="5"/>
      <c r="B5" s="2"/>
      <c r="C5" s="2"/>
      <c r="D5" s="413"/>
      <c r="E5" s="2"/>
      <c r="F5" s="2"/>
      <c r="G5" s="2"/>
      <c r="H5" s="2"/>
      <c r="I5" s="413"/>
      <c r="J5" s="2"/>
      <c r="K5" s="2"/>
      <c r="L5" s="2"/>
    </row>
    <row r="6" spans="1:33" x14ac:dyDescent="0.3">
      <c r="A6" s="5"/>
      <c r="B6" s="2"/>
      <c r="C6" s="2"/>
      <c r="D6" s="413"/>
      <c r="E6" s="2"/>
      <c r="F6" s="2"/>
      <c r="G6" s="2"/>
      <c r="H6" s="2"/>
      <c r="I6" s="413"/>
      <c r="J6" s="2"/>
      <c r="K6" s="2"/>
      <c r="L6" s="2"/>
    </row>
    <row r="7" spans="1:33" ht="20.25" customHeight="1" thickBot="1" x14ac:dyDescent="0.35">
      <c r="A7" s="186" t="s">
        <v>131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2"/>
      <c r="N7" s="413"/>
      <c r="O7" s="2"/>
      <c r="P7" s="2"/>
      <c r="Q7" s="2"/>
    </row>
    <row r="8" spans="1:33" s="83" customFormat="1" ht="13.5" customHeight="1" thickBot="1" x14ac:dyDescent="0.4">
      <c r="A8" s="96"/>
      <c r="B8" s="66"/>
      <c r="C8" s="1670" t="s">
        <v>233</v>
      </c>
      <c r="D8" s="1670"/>
      <c r="E8" s="1670"/>
      <c r="F8" s="1670"/>
      <c r="G8" s="1670"/>
      <c r="H8" s="1670" t="s">
        <v>326</v>
      </c>
      <c r="I8" s="1670"/>
      <c r="J8" s="1670"/>
      <c r="K8" s="1670"/>
      <c r="L8" s="1670"/>
      <c r="M8" s="1646" t="s">
        <v>391</v>
      </c>
      <c r="N8" s="1646"/>
      <c r="O8" s="1646"/>
      <c r="P8" s="1646"/>
      <c r="Q8" s="1647"/>
    </row>
    <row r="9" spans="1:33" ht="159" customHeight="1" thickBot="1" x14ac:dyDescent="0.4">
      <c r="A9" s="1399" t="s">
        <v>39</v>
      </c>
      <c r="B9" s="291" t="s">
        <v>3</v>
      </c>
      <c r="C9" s="1400" t="s">
        <v>387</v>
      </c>
      <c r="D9" s="1401" t="s">
        <v>522</v>
      </c>
      <c r="E9" s="1402" t="s">
        <v>523</v>
      </c>
      <c r="F9" s="1403" t="s">
        <v>524</v>
      </c>
      <c r="G9" s="1403" t="s">
        <v>525</v>
      </c>
      <c r="H9" s="1400" t="s">
        <v>387</v>
      </c>
      <c r="I9" s="1401" t="s">
        <v>441</v>
      </c>
      <c r="J9" s="1402" t="s">
        <v>388</v>
      </c>
      <c r="K9" s="1403" t="s">
        <v>389</v>
      </c>
      <c r="L9" s="1403" t="s">
        <v>390</v>
      </c>
      <c r="M9" s="1400" t="s">
        <v>387</v>
      </c>
      <c r="N9" s="1401" t="s">
        <v>441</v>
      </c>
      <c r="O9" s="1402" t="s">
        <v>388</v>
      </c>
      <c r="P9" s="1403" t="s">
        <v>389</v>
      </c>
      <c r="Q9" s="1403" t="s">
        <v>390</v>
      </c>
      <c r="W9" s="182"/>
    </row>
    <row r="10" spans="1:33" ht="15" x14ac:dyDescent="0.35">
      <c r="A10" s="225">
        <v>1</v>
      </c>
      <c r="B10" s="226" t="s">
        <v>14</v>
      </c>
      <c r="C10" s="307">
        <f>SUM(D10:G10)</f>
        <v>218</v>
      </c>
      <c r="D10" s="1510">
        <v>58</v>
      </c>
      <c r="E10" s="1511">
        <v>131</v>
      </c>
      <c r="F10" s="1511">
        <v>5</v>
      </c>
      <c r="G10" s="1512">
        <v>24</v>
      </c>
      <c r="H10" s="1510">
        <f>SUM(I10:L10)</f>
        <v>129527</v>
      </c>
      <c r="I10" s="1510">
        <v>11551</v>
      </c>
      <c r="J10" s="1511">
        <v>84194</v>
      </c>
      <c r="K10" s="1511">
        <v>1904</v>
      </c>
      <c r="L10" s="309">
        <v>31878</v>
      </c>
      <c r="M10" s="307">
        <f>H10/C10</f>
        <v>594.16055045871565</v>
      </c>
      <c r="N10" s="307">
        <f t="shared" ref="N10:N24" si="0">IFERROR(I10/D10,0)</f>
        <v>199.15517241379311</v>
      </c>
      <c r="O10" s="308">
        <f t="shared" ref="O10:O24" si="1">IFERROR(J10/E10,0)</f>
        <v>642.70229007633588</v>
      </c>
      <c r="P10" s="308">
        <f t="shared" ref="P10:P24" si="2">IFERROR(K10/F10,0)</f>
        <v>380.8</v>
      </c>
      <c r="Q10" s="309">
        <f t="shared" ref="Q10:Q24" si="3">IFERROR(L10/G10,0)</f>
        <v>1328.25</v>
      </c>
      <c r="S10" s="1365"/>
    </row>
    <row r="11" spans="1:33" ht="15" x14ac:dyDescent="0.35">
      <c r="A11" s="223">
        <v>2</v>
      </c>
      <c r="B11" s="224" t="s">
        <v>15</v>
      </c>
      <c r="C11" s="310">
        <f t="shared" ref="C11:C32" si="4">SUM(D11:G11)</f>
        <v>100</v>
      </c>
      <c r="D11" s="1513">
        <v>0</v>
      </c>
      <c r="E11" s="1514">
        <v>81</v>
      </c>
      <c r="F11" s="1514">
        <v>8</v>
      </c>
      <c r="G11" s="1515">
        <v>11</v>
      </c>
      <c r="H11" s="1513">
        <f t="shared" ref="H11:H32" si="5">SUM(I11:L11)</f>
        <v>60086</v>
      </c>
      <c r="I11" s="1513">
        <v>0</v>
      </c>
      <c r="J11" s="1514">
        <v>33838</v>
      </c>
      <c r="K11" s="1514">
        <v>5665</v>
      </c>
      <c r="L11" s="312">
        <v>20583</v>
      </c>
      <c r="M11" s="310">
        <f t="shared" ref="M11:M24" si="6">H11/C11</f>
        <v>600.86</v>
      </c>
      <c r="N11" s="310">
        <f t="shared" si="0"/>
        <v>0</v>
      </c>
      <c r="O11" s="311">
        <f t="shared" si="1"/>
        <v>417.75308641975306</v>
      </c>
      <c r="P11" s="311">
        <f t="shared" si="2"/>
        <v>708.125</v>
      </c>
      <c r="Q11" s="312">
        <f t="shared" si="3"/>
        <v>1871.1818181818182</v>
      </c>
      <c r="S11" s="1365"/>
      <c r="T11" s="423"/>
      <c r="U11" s="424"/>
      <c r="V11" s="424"/>
      <c r="W11" s="424"/>
      <c r="X11" s="423"/>
      <c r="Y11" s="424"/>
      <c r="Z11" s="423"/>
      <c r="AA11" s="423"/>
      <c r="AB11" s="424"/>
      <c r="AC11" s="424"/>
      <c r="AD11" s="424"/>
      <c r="AE11" s="424"/>
      <c r="AF11" s="424"/>
      <c r="AG11" s="424"/>
    </row>
    <row r="12" spans="1:33" ht="15" x14ac:dyDescent="0.35">
      <c r="A12" s="223">
        <v>3</v>
      </c>
      <c r="B12" s="224" t="s">
        <v>16</v>
      </c>
      <c r="C12" s="310">
        <f t="shared" si="4"/>
        <v>80</v>
      </c>
      <c r="D12" s="1513">
        <v>0</v>
      </c>
      <c r="E12" s="1514">
        <v>49</v>
      </c>
      <c r="F12" s="1514">
        <v>4</v>
      </c>
      <c r="G12" s="1515">
        <v>27</v>
      </c>
      <c r="H12" s="1513">
        <f t="shared" si="5"/>
        <v>64319</v>
      </c>
      <c r="I12" s="1513">
        <v>0</v>
      </c>
      <c r="J12" s="1514">
        <v>17021</v>
      </c>
      <c r="K12" s="1514">
        <v>1929</v>
      </c>
      <c r="L12" s="312">
        <v>45369</v>
      </c>
      <c r="M12" s="310">
        <f t="shared" si="6"/>
        <v>803.98749999999995</v>
      </c>
      <c r="N12" s="310">
        <f t="shared" si="0"/>
        <v>0</v>
      </c>
      <c r="O12" s="311">
        <f t="shared" si="1"/>
        <v>347.36734693877548</v>
      </c>
      <c r="P12" s="311">
        <f t="shared" si="2"/>
        <v>482.25</v>
      </c>
      <c r="Q12" s="312">
        <f t="shared" si="3"/>
        <v>1680.3333333333333</v>
      </c>
      <c r="S12" s="1365"/>
      <c r="T12" s="423"/>
      <c r="U12" s="424"/>
      <c r="V12" s="424"/>
      <c r="W12" s="424"/>
      <c r="X12" s="423"/>
      <c r="Y12" s="424"/>
      <c r="Z12" s="423"/>
      <c r="AA12" s="423"/>
      <c r="AB12" s="424"/>
      <c r="AC12" s="424"/>
      <c r="AD12" s="424"/>
      <c r="AE12" s="424"/>
      <c r="AF12" s="424"/>
      <c r="AG12" s="424"/>
    </row>
    <row r="13" spans="1:33" ht="15" x14ac:dyDescent="0.35">
      <c r="A13" s="223">
        <v>4</v>
      </c>
      <c r="B13" s="224" t="s">
        <v>17</v>
      </c>
      <c r="C13" s="310">
        <f t="shared" si="4"/>
        <v>82</v>
      </c>
      <c r="D13" s="1513">
        <v>0</v>
      </c>
      <c r="E13" s="1514">
        <v>77</v>
      </c>
      <c r="F13" s="1514">
        <v>4</v>
      </c>
      <c r="G13" s="1515">
        <v>1</v>
      </c>
      <c r="H13" s="1513">
        <f t="shared" si="5"/>
        <v>44440</v>
      </c>
      <c r="I13" s="1513">
        <v>0</v>
      </c>
      <c r="J13" s="1514">
        <v>36618</v>
      </c>
      <c r="K13" s="1514">
        <v>3129</v>
      </c>
      <c r="L13" s="312">
        <v>4693</v>
      </c>
      <c r="M13" s="310">
        <f t="shared" si="6"/>
        <v>541.95121951219517</v>
      </c>
      <c r="N13" s="310">
        <f t="shared" si="0"/>
        <v>0</v>
      </c>
      <c r="O13" s="311">
        <f t="shared" si="1"/>
        <v>475.55844155844159</v>
      </c>
      <c r="P13" s="311">
        <f t="shared" si="2"/>
        <v>782.25</v>
      </c>
      <c r="Q13" s="312">
        <f t="shared" si="3"/>
        <v>4693</v>
      </c>
      <c r="S13" s="1365"/>
      <c r="T13" s="423"/>
      <c r="U13" s="424"/>
      <c r="V13" s="424"/>
      <c r="W13" s="424"/>
      <c r="X13" s="423"/>
      <c r="Y13" s="424"/>
      <c r="Z13" s="894"/>
      <c r="AA13" s="423"/>
      <c r="AB13" s="424"/>
      <c r="AC13" s="424"/>
      <c r="AD13" s="424"/>
      <c r="AE13" s="424"/>
      <c r="AF13" s="424"/>
      <c r="AG13" s="424"/>
    </row>
    <row r="14" spans="1:33" s="412" customFormat="1" ht="15" x14ac:dyDescent="0.35">
      <c r="A14" s="223">
        <v>5</v>
      </c>
      <c r="B14" s="224" t="s">
        <v>339</v>
      </c>
      <c r="C14" s="310">
        <f t="shared" si="4"/>
        <v>379</v>
      </c>
      <c r="D14" s="1513">
        <v>187</v>
      </c>
      <c r="E14" s="1514">
        <v>171</v>
      </c>
      <c r="F14" s="1514">
        <v>3</v>
      </c>
      <c r="G14" s="1515">
        <v>18</v>
      </c>
      <c r="H14" s="1513">
        <f t="shared" si="5"/>
        <v>99446</v>
      </c>
      <c r="I14" s="1513">
        <v>12105</v>
      </c>
      <c r="J14" s="1514">
        <v>56444</v>
      </c>
      <c r="K14" s="1514">
        <v>2112</v>
      </c>
      <c r="L14" s="312">
        <v>28785</v>
      </c>
      <c r="M14" s="310">
        <f t="shared" si="6"/>
        <v>262.3905013192612</v>
      </c>
      <c r="N14" s="310">
        <f t="shared" si="0"/>
        <v>64.732620320855617</v>
      </c>
      <c r="O14" s="311">
        <f t="shared" si="1"/>
        <v>330.08187134502924</v>
      </c>
      <c r="P14" s="311">
        <f t="shared" si="2"/>
        <v>704</v>
      </c>
      <c r="Q14" s="312">
        <f t="shared" si="3"/>
        <v>1599.1666666666667</v>
      </c>
      <c r="S14" s="1365"/>
      <c r="T14" s="423"/>
      <c r="U14" s="424"/>
      <c r="V14" s="424"/>
      <c r="W14" s="424"/>
      <c r="X14" s="423"/>
      <c r="Y14" s="424"/>
      <c r="Z14" s="423"/>
      <c r="AA14" s="423"/>
      <c r="AB14" s="424"/>
      <c r="AC14" s="424"/>
      <c r="AD14" s="424"/>
      <c r="AE14" s="424"/>
      <c r="AF14" s="424"/>
      <c r="AG14" s="424"/>
    </row>
    <row r="15" spans="1:33" ht="15" x14ac:dyDescent="0.35">
      <c r="A15" s="223">
        <v>6</v>
      </c>
      <c r="B15" s="224" t="s">
        <v>19</v>
      </c>
      <c r="C15" s="310">
        <f t="shared" si="4"/>
        <v>214</v>
      </c>
      <c r="D15" s="1513">
        <v>0</v>
      </c>
      <c r="E15" s="1514">
        <v>181</v>
      </c>
      <c r="F15" s="1514">
        <v>2</v>
      </c>
      <c r="G15" s="1515">
        <v>31</v>
      </c>
      <c r="H15" s="1513">
        <f t="shared" si="5"/>
        <v>93284</v>
      </c>
      <c r="I15" s="1513">
        <v>0</v>
      </c>
      <c r="J15" s="1514">
        <v>47857</v>
      </c>
      <c r="K15" s="1514">
        <v>2086</v>
      </c>
      <c r="L15" s="312">
        <v>43341</v>
      </c>
      <c r="M15" s="310">
        <f t="shared" si="6"/>
        <v>435.90654205607478</v>
      </c>
      <c r="N15" s="310">
        <f t="shared" si="0"/>
        <v>0</v>
      </c>
      <c r="O15" s="311">
        <f t="shared" si="1"/>
        <v>264.40331491712709</v>
      </c>
      <c r="P15" s="311">
        <f t="shared" si="2"/>
        <v>1043</v>
      </c>
      <c r="Q15" s="312">
        <f t="shared" si="3"/>
        <v>1398.0967741935483</v>
      </c>
      <c r="S15" s="1365"/>
      <c r="T15" s="423"/>
      <c r="U15" s="424"/>
      <c r="V15" s="424"/>
      <c r="W15" s="424"/>
      <c r="X15" s="423"/>
      <c r="Y15" s="424"/>
      <c r="Z15" s="423"/>
      <c r="AA15" s="423"/>
      <c r="AB15" s="424"/>
      <c r="AC15" s="424"/>
      <c r="AD15" s="424"/>
      <c r="AE15" s="424"/>
      <c r="AF15" s="424"/>
      <c r="AG15" s="424"/>
    </row>
    <row r="16" spans="1:33" ht="15" x14ac:dyDescent="0.35">
      <c r="A16" s="223">
        <v>7</v>
      </c>
      <c r="B16" s="224" t="s">
        <v>340</v>
      </c>
      <c r="C16" s="310">
        <f t="shared" si="4"/>
        <v>265</v>
      </c>
      <c r="D16" s="1513">
        <v>1</v>
      </c>
      <c r="E16" s="1514">
        <v>206</v>
      </c>
      <c r="F16" s="1514">
        <v>6</v>
      </c>
      <c r="G16" s="1515">
        <v>52</v>
      </c>
      <c r="H16" s="1513">
        <f t="shared" si="5"/>
        <v>165865</v>
      </c>
      <c r="I16" s="1513">
        <v>0</v>
      </c>
      <c r="J16" s="1514">
        <v>90813</v>
      </c>
      <c r="K16" s="1514">
        <v>4168</v>
      </c>
      <c r="L16" s="312">
        <v>70884</v>
      </c>
      <c r="M16" s="310">
        <f t="shared" si="6"/>
        <v>625.90566037735846</v>
      </c>
      <c r="N16" s="310">
        <f t="shared" si="0"/>
        <v>0</v>
      </c>
      <c r="O16" s="311">
        <f t="shared" si="1"/>
        <v>440.83980582524271</v>
      </c>
      <c r="P16" s="311">
        <f t="shared" si="2"/>
        <v>694.66666666666663</v>
      </c>
      <c r="Q16" s="312">
        <f t="shared" si="3"/>
        <v>1363.1538461538462</v>
      </c>
      <c r="S16" s="1365"/>
    </row>
    <row r="17" spans="1:19" ht="15" x14ac:dyDescent="0.35">
      <c r="A17" s="223">
        <v>8</v>
      </c>
      <c r="B17" s="224" t="s">
        <v>21</v>
      </c>
      <c r="C17" s="310">
        <f t="shared" si="4"/>
        <v>240</v>
      </c>
      <c r="D17" s="1513">
        <v>0</v>
      </c>
      <c r="E17" s="1514">
        <v>183</v>
      </c>
      <c r="F17" s="1514">
        <v>3</v>
      </c>
      <c r="G17" s="1515">
        <v>54</v>
      </c>
      <c r="H17" s="1513">
        <f t="shared" si="5"/>
        <v>149978</v>
      </c>
      <c r="I17" s="1513">
        <v>0</v>
      </c>
      <c r="J17" s="1514">
        <v>82349</v>
      </c>
      <c r="K17" s="1514">
        <v>2816</v>
      </c>
      <c r="L17" s="312">
        <v>64813</v>
      </c>
      <c r="M17" s="310">
        <f t="shared" si="6"/>
        <v>624.9083333333333</v>
      </c>
      <c r="N17" s="310">
        <f t="shared" si="0"/>
        <v>0</v>
      </c>
      <c r="O17" s="311">
        <f t="shared" si="1"/>
        <v>449.99453551912569</v>
      </c>
      <c r="P17" s="311">
        <f t="shared" si="2"/>
        <v>938.66666666666663</v>
      </c>
      <c r="Q17" s="312">
        <f t="shared" si="3"/>
        <v>1200.2407407407406</v>
      </c>
      <c r="S17" s="1365"/>
    </row>
    <row r="18" spans="1:19" ht="15" x14ac:dyDescent="0.35">
      <c r="A18" s="223">
        <v>9</v>
      </c>
      <c r="B18" s="224" t="s">
        <v>22</v>
      </c>
      <c r="C18" s="310">
        <f t="shared" si="4"/>
        <v>170</v>
      </c>
      <c r="D18" s="1513">
        <v>0</v>
      </c>
      <c r="E18" s="1514">
        <v>126</v>
      </c>
      <c r="F18" s="1514">
        <v>3</v>
      </c>
      <c r="G18" s="1515">
        <v>41</v>
      </c>
      <c r="H18" s="1513">
        <f t="shared" si="5"/>
        <v>127926</v>
      </c>
      <c r="I18" s="1513">
        <v>0</v>
      </c>
      <c r="J18" s="1514">
        <v>80340</v>
      </c>
      <c r="K18" s="1514">
        <v>2946</v>
      </c>
      <c r="L18" s="312">
        <v>44640</v>
      </c>
      <c r="M18" s="310">
        <f t="shared" si="6"/>
        <v>752.50588235294117</v>
      </c>
      <c r="N18" s="310">
        <f t="shared" si="0"/>
        <v>0</v>
      </c>
      <c r="O18" s="311">
        <f t="shared" si="1"/>
        <v>637.61904761904759</v>
      </c>
      <c r="P18" s="311">
        <f t="shared" si="2"/>
        <v>982</v>
      </c>
      <c r="Q18" s="312">
        <f t="shared" si="3"/>
        <v>1088.780487804878</v>
      </c>
      <c r="S18" s="1365"/>
    </row>
    <row r="19" spans="1:19" ht="15" x14ac:dyDescent="0.35">
      <c r="A19" s="223">
        <v>10</v>
      </c>
      <c r="B19" s="224" t="s">
        <v>23</v>
      </c>
      <c r="C19" s="310">
        <f t="shared" si="4"/>
        <v>171</v>
      </c>
      <c r="D19" s="1513">
        <v>27</v>
      </c>
      <c r="E19" s="1514">
        <v>88</v>
      </c>
      <c r="F19" s="1514">
        <v>2</v>
      </c>
      <c r="G19" s="1515">
        <v>54</v>
      </c>
      <c r="H19" s="1513">
        <f t="shared" si="5"/>
        <v>109921</v>
      </c>
      <c r="I19" s="1513">
        <v>3985</v>
      </c>
      <c r="J19" s="1514">
        <v>28739</v>
      </c>
      <c r="K19" s="1514">
        <v>603</v>
      </c>
      <c r="L19" s="312">
        <v>76594</v>
      </c>
      <c r="M19" s="310">
        <f t="shared" si="6"/>
        <v>642.81286549707602</v>
      </c>
      <c r="N19" s="310">
        <f t="shared" si="0"/>
        <v>147.59259259259258</v>
      </c>
      <c r="O19" s="311">
        <f t="shared" si="1"/>
        <v>326.57954545454544</v>
      </c>
      <c r="P19" s="311">
        <f t="shared" si="2"/>
        <v>301.5</v>
      </c>
      <c r="Q19" s="312">
        <f t="shared" si="3"/>
        <v>1418.4074074074074</v>
      </c>
      <c r="S19" s="1365"/>
    </row>
    <row r="20" spans="1:19" ht="15" x14ac:dyDescent="0.35">
      <c r="A20" s="223">
        <v>11</v>
      </c>
      <c r="B20" s="224" t="s">
        <v>24</v>
      </c>
      <c r="C20" s="310">
        <f t="shared" si="4"/>
        <v>222</v>
      </c>
      <c r="D20" s="1513">
        <v>4</v>
      </c>
      <c r="E20" s="1514">
        <v>148</v>
      </c>
      <c r="F20" s="1514">
        <v>11</v>
      </c>
      <c r="G20" s="1515">
        <v>59</v>
      </c>
      <c r="H20" s="1513">
        <f t="shared" si="5"/>
        <v>168958</v>
      </c>
      <c r="I20" s="1513">
        <v>228</v>
      </c>
      <c r="J20" s="1514">
        <v>80213</v>
      </c>
      <c r="K20" s="1514">
        <v>7659</v>
      </c>
      <c r="L20" s="312">
        <v>80858</v>
      </c>
      <c r="M20" s="310">
        <f t="shared" si="6"/>
        <v>761.07207207207205</v>
      </c>
      <c r="N20" s="310">
        <f t="shared" si="0"/>
        <v>57</v>
      </c>
      <c r="O20" s="311">
        <f t="shared" si="1"/>
        <v>541.97972972972968</v>
      </c>
      <c r="P20" s="311">
        <f t="shared" si="2"/>
        <v>696.27272727272725</v>
      </c>
      <c r="Q20" s="312">
        <f t="shared" si="3"/>
        <v>1370.4745762711864</v>
      </c>
      <c r="S20" s="1365"/>
    </row>
    <row r="21" spans="1:19" ht="15" x14ac:dyDescent="0.35">
      <c r="A21" s="223">
        <v>12</v>
      </c>
      <c r="B21" s="224" t="s">
        <v>25</v>
      </c>
      <c r="C21" s="310">
        <f t="shared" si="4"/>
        <v>249</v>
      </c>
      <c r="D21" s="1513">
        <v>30</v>
      </c>
      <c r="E21" s="1514">
        <v>161</v>
      </c>
      <c r="F21" s="1514">
        <v>14</v>
      </c>
      <c r="G21" s="1515">
        <v>44</v>
      </c>
      <c r="H21" s="1513">
        <f t="shared" si="5"/>
        <v>128564</v>
      </c>
      <c r="I21" s="1513">
        <v>7264</v>
      </c>
      <c r="J21" s="1514">
        <v>38658</v>
      </c>
      <c r="K21" s="1514">
        <v>17096</v>
      </c>
      <c r="L21" s="312">
        <v>65546</v>
      </c>
      <c r="M21" s="310">
        <f t="shared" si="6"/>
        <v>516.32128514056228</v>
      </c>
      <c r="N21" s="310">
        <f t="shared" si="0"/>
        <v>242.13333333333333</v>
      </c>
      <c r="O21" s="311">
        <f t="shared" si="1"/>
        <v>240.11180124223603</v>
      </c>
      <c r="P21" s="311">
        <f t="shared" si="2"/>
        <v>1221.1428571428571</v>
      </c>
      <c r="Q21" s="312">
        <f t="shared" si="3"/>
        <v>1489.6818181818182</v>
      </c>
      <c r="S21" s="1365"/>
    </row>
    <row r="22" spans="1:19" ht="15" x14ac:dyDescent="0.35">
      <c r="A22" s="223">
        <v>13</v>
      </c>
      <c r="B22" s="224" t="s">
        <v>26</v>
      </c>
      <c r="C22" s="310">
        <f t="shared" si="4"/>
        <v>279</v>
      </c>
      <c r="D22" s="1513">
        <v>0</v>
      </c>
      <c r="E22" s="1514">
        <v>235</v>
      </c>
      <c r="F22" s="1514">
        <v>6</v>
      </c>
      <c r="G22" s="1515">
        <v>38</v>
      </c>
      <c r="H22" s="1513">
        <f t="shared" si="5"/>
        <v>148576</v>
      </c>
      <c r="I22" s="1513">
        <v>0</v>
      </c>
      <c r="J22" s="1514">
        <v>97397</v>
      </c>
      <c r="K22" s="1514">
        <v>3087</v>
      </c>
      <c r="L22" s="312">
        <v>48092</v>
      </c>
      <c r="M22" s="310">
        <f t="shared" si="6"/>
        <v>532.53046594982084</v>
      </c>
      <c r="N22" s="310">
        <f t="shared" si="0"/>
        <v>0</v>
      </c>
      <c r="O22" s="311">
        <f t="shared" si="1"/>
        <v>414.45531914893616</v>
      </c>
      <c r="P22" s="311">
        <f t="shared" si="2"/>
        <v>514.5</v>
      </c>
      <c r="Q22" s="312">
        <f t="shared" si="3"/>
        <v>1265.578947368421</v>
      </c>
      <c r="S22" s="1365"/>
    </row>
    <row r="23" spans="1:19" ht="15" x14ac:dyDescent="0.35">
      <c r="A23" s="223">
        <v>14</v>
      </c>
      <c r="B23" s="224" t="s">
        <v>27</v>
      </c>
      <c r="C23" s="310">
        <f t="shared" si="4"/>
        <v>285</v>
      </c>
      <c r="D23" s="1513">
        <v>0</v>
      </c>
      <c r="E23" s="1514">
        <v>241</v>
      </c>
      <c r="F23" s="1514">
        <v>3</v>
      </c>
      <c r="G23" s="1515">
        <v>41</v>
      </c>
      <c r="H23" s="1513">
        <f t="shared" si="5"/>
        <v>175493</v>
      </c>
      <c r="I23" s="1513">
        <v>0</v>
      </c>
      <c r="J23" s="1514">
        <v>131607</v>
      </c>
      <c r="K23" s="1514">
        <v>1651</v>
      </c>
      <c r="L23" s="312">
        <v>42235</v>
      </c>
      <c r="M23" s="310">
        <f t="shared" si="6"/>
        <v>615.76491228070176</v>
      </c>
      <c r="N23" s="310">
        <f t="shared" si="0"/>
        <v>0</v>
      </c>
      <c r="O23" s="311">
        <f t="shared" si="1"/>
        <v>546.0871369294606</v>
      </c>
      <c r="P23" s="311">
        <f t="shared" si="2"/>
        <v>550.33333333333337</v>
      </c>
      <c r="Q23" s="312">
        <f t="shared" si="3"/>
        <v>1030.1219512195121</v>
      </c>
      <c r="R23" t="s">
        <v>432</v>
      </c>
      <c r="S23" s="1365"/>
    </row>
    <row r="24" spans="1:19" ht="15" customHeight="1" thickBot="1" x14ac:dyDescent="0.4">
      <c r="A24" s="495">
        <v>15</v>
      </c>
      <c r="B24" s="227" t="s">
        <v>28</v>
      </c>
      <c r="C24" s="313">
        <f t="shared" si="4"/>
        <v>132</v>
      </c>
      <c r="D24" s="1516">
        <v>0</v>
      </c>
      <c r="E24" s="1517">
        <v>77</v>
      </c>
      <c r="F24" s="1517">
        <v>7</v>
      </c>
      <c r="G24" s="1515">
        <v>48</v>
      </c>
      <c r="H24" s="1516">
        <f t="shared" si="5"/>
        <v>99735</v>
      </c>
      <c r="I24" s="1516">
        <v>0</v>
      </c>
      <c r="J24" s="1517">
        <v>30546</v>
      </c>
      <c r="K24" s="1517">
        <v>3938</v>
      </c>
      <c r="L24" s="312">
        <v>65251</v>
      </c>
      <c r="M24" s="313">
        <f t="shared" si="6"/>
        <v>755.56818181818187</v>
      </c>
      <c r="N24" s="313">
        <f t="shared" si="0"/>
        <v>0</v>
      </c>
      <c r="O24" s="314">
        <f t="shared" si="1"/>
        <v>396.7012987012987</v>
      </c>
      <c r="P24" s="314">
        <f t="shared" si="2"/>
        <v>562.57142857142856</v>
      </c>
      <c r="Q24" s="315">
        <f t="shared" si="3"/>
        <v>1359.3958333333333</v>
      </c>
      <c r="S24" s="1365"/>
    </row>
    <row r="25" spans="1:19" ht="15.45" x14ac:dyDescent="0.4">
      <c r="A25" s="1610" t="s">
        <v>479</v>
      </c>
      <c r="B25" s="1611" t="s">
        <v>543</v>
      </c>
      <c r="C25" s="682">
        <f t="shared" ref="C25:L25" si="7">SUM(C10:C24)</f>
        <v>3086</v>
      </c>
      <c r="D25" s="682">
        <f t="shared" ref="D25" si="8">SUM(D10:D24)</f>
        <v>307</v>
      </c>
      <c r="E25" s="680">
        <f t="shared" si="7"/>
        <v>2155</v>
      </c>
      <c r="F25" s="680">
        <f t="shared" si="7"/>
        <v>81</v>
      </c>
      <c r="G25" s="681">
        <f t="shared" si="7"/>
        <v>543</v>
      </c>
      <c r="H25" s="682">
        <f t="shared" ref="H25" si="9">SUM(H10:H24)</f>
        <v>1766118</v>
      </c>
      <c r="I25" s="682">
        <f>SUM(I10:I24)</f>
        <v>35133</v>
      </c>
      <c r="J25" s="680">
        <f t="shared" si="7"/>
        <v>936634</v>
      </c>
      <c r="K25" s="680">
        <f t="shared" si="7"/>
        <v>60789</v>
      </c>
      <c r="L25" s="684">
        <f t="shared" si="7"/>
        <v>733562</v>
      </c>
      <c r="M25" s="682">
        <f>H25/C25</f>
        <v>572.300064808814</v>
      </c>
      <c r="N25" s="682">
        <f>I25/D25</f>
        <v>114.43973941368078</v>
      </c>
      <c r="O25" s="682">
        <f t="shared" ref="N25:Q32" si="10">J25/E25</f>
        <v>434.63294663573083</v>
      </c>
      <c r="P25" s="682">
        <f t="shared" si="10"/>
        <v>750.48148148148152</v>
      </c>
      <c r="Q25" s="682">
        <f t="shared" si="10"/>
        <v>1350.9429097605894</v>
      </c>
    </row>
    <row r="26" spans="1:19" s="415" customFormat="1" ht="15" x14ac:dyDescent="0.35">
      <c r="A26" s="1612" t="s">
        <v>479</v>
      </c>
      <c r="B26" s="1613" t="s">
        <v>483</v>
      </c>
      <c r="C26" s="913">
        <v>2768</v>
      </c>
      <c r="D26" s="913">
        <v>237</v>
      </c>
      <c r="E26" s="914">
        <v>1918</v>
      </c>
      <c r="F26" s="914">
        <v>79</v>
      </c>
      <c r="G26" s="916">
        <v>534</v>
      </c>
      <c r="H26" s="913">
        <v>1186730</v>
      </c>
      <c r="I26" s="913">
        <v>21428</v>
      </c>
      <c r="J26" s="914">
        <v>630422</v>
      </c>
      <c r="K26" s="914">
        <v>40664</v>
      </c>
      <c r="L26" s="915">
        <v>494216</v>
      </c>
      <c r="M26" s="913">
        <v>428.73193641618496</v>
      </c>
      <c r="N26" s="913">
        <v>90.413502109704638</v>
      </c>
      <c r="O26" s="913">
        <v>328.68717413972888</v>
      </c>
      <c r="P26" s="913">
        <v>514.7341772151899</v>
      </c>
      <c r="Q26" s="913">
        <v>925.498127340824</v>
      </c>
    </row>
    <row r="27" spans="1:19" s="415" customFormat="1" ht="15" x14ac:dyDescent="0.35">
      <c r="A27" s="1614"/>
      <c r="B27" s="1613" t="s">
        <v>463</v>
      </c>
      <c r="C27" s="913">
        <v>3291</v>
      </c>
      <c r="D27" s="913">
        <v>422</v>
      </c>
      <c r="E27" s="914">
        <v>2252</v>
      </c>
      <c r="F27" s="914">
        <v>72</v>
      </c>
      <c r="G27" s="916">
        <v>545</v>
      </c>
      <c r="H27" s="913">
        <v>2042055</v>
      </c>
      <c r="I27" s="913">
        <v>38440</v>
      </c>
      <c r="J27" s="914">
        <v>1003641</v>
      </c>
      <c r="K27" s="914">
        <v>52653</v>
      </c>
      <c r="L27" s="915">
        <v>947321</v>
      </c>
      <c r="M27" s="913">
        <v>620.49680948040111</v>
      </c>
      <c r="N27" s="913">
        <v>91.090047393364927</v>
      </c>
      <c r="O27" s="913">
        <v>445.66651865008879</v>
      </c>
      <c r="P27" s="913">
        <v>731.29166666666663</v>
      </c>
      <c r="Q27" s="913">
        <v>1738.2036697247706</v>
      </c>
    </row>
    <row r="28" spans="1:19" s="415" customFormat="1" ht="15" x14ac:dyDescent="0.35">
      <c r="A28" s="1614"/>
      <c r="B28" s="1613" t="s">
        <v>415</v>
      </c>
      <c r="C28" s="913">
        <v>3253</v>
      </c>
      <c r="D28" s="913">
        <v>402</v>
      </c>
      <c r="E28" s="914">
        <v>2231</v>
      </c>
      <c r="F28" s="914">
        <v>81</v>
      </c>
      <c r="G28" s="916">
        <v>539</v>
      </c>
      <c r="H28" s="913">
        <v>1741671</v>
      </c>
      <c r="I28" s="913" t="s">
        <v>126</v>
      </c>
      <c r="J28" s="914">
        <v>932965</v>
      </c>
      <c r="K28" s="914">
        <v>57180</v>
      </c>
      <c r="L28" s="915">
        <v>722294</v>
      </c>
      <c r="M28" s="913">
        <v>535.40454964648018</v>
      </c>
      <c r="N28" s="913" t="s">
        <v>126</v>
      </c>
      <c r="O28" s="913">
        <v>418.18242940385477</v>
      </c>
      <c r="P28" s="913">
        <v>705.92592592592598</v>
      </c>
      <c r="Q28" s="913">
        <v>1340.0630797773656</v>
      </c>
    </row>
    <row r="29" spans="1:19" s="415" customFormat="1" ht="15" x14ac:dyDescent="0.35">
      <c r="A29" s="1614"/>
      <c r="B29" s="1613" t="s">
        <v>367</v>
      </c>
      <c r="C29" s="913">
        <f t="shared" si="4"/>
        <v>3344</v>
      </c>
      <c r="D29" s="913">
        <v>455</v>
      </c>
      <c r="E29" s="914">
        <v>2297</v>
      </c>
      <c r="F29" s="914">
        <v>68</v>
      </c>
      <c r="G29" s="916">
        <v>524</v>
      </c>
      <c r="H29" s="913">
        <f t="shared" si="5"/>
        <v>1804572</v>
      </c>
      <c r="I29" s="913" t="s">
        <v>126</v>
      </c>
      <c r="J29" s="914">
        <v>1048980</v>
      </c>
      <c r="K29" s="914">
        <v>52370</v>
      </c>
      <c r="L29" s="915">
        <v>703222</v>
      </c>
      <c r="M29" s="913">
        <f t="shared" ref="M29:M32" si="11">H29/C29</f>
        <v>539.64473684210532</v>
      </c>
      <c r="N29" s="913" t="s">
        <v>126</v>
      </c>
      <c r="O29" s="913">
        <f t="shared" si="10"/>
        <v>456.67392250761861</v>
      </c>
      <c r="P29" s="913">
        <f t="shared" si="10"/>
        <v>770.14705882352939</v>
      </c>
      <c r="Q29" s="913">
        <f t="shared" si="10"/>
        <v>1342.0267175572519</v>
      </c>
    </row>
    <row r="30" spans="1:19" s="415" customFormat="1" ht="15" x14ac:dyDescent="0.35">
      <c r="A30" s="1615"/>
      <c r="B30" s="1613" t="s">
        <v>334</v>
      </c>
      <c r="C30" s="780">
        <f t="shared" si="4"/>
        <v>3407</v>
      </c>
      <c r="D30" s="780">
        <v>483</v>
      </c>
      <c r="E30" s="316">
        <v>2289</v>
      </c>
      <c r="F30" s="316">
        <v>69</v>
      </c>
      <c r="G30" s="317">
        <v>566</v>
      </c>
      <c r="H30" s="780">
        <f t="shared" si="5"/>
        <v>1752974</v>
      </c>
      <c r="I30" s="780" t="s">
        <v>126</v>
      </c>
      <c r="J30" s="316">
        <v>1053795</v>
      </c>
      <c r="K30" s="316">
        <v>51742</v>
      </c>
      <c r="L30" s="781">
        <v>647437</v>
      </c>
      <c r="M30" s="780">
        <f t="shared" si="11"/>
        <v>514.52127971822722</v>
      </c>
      <c r="N30" s="780" t="s">
        <v>126</v>
      </c>
      <c r="O30" s="780">
        <f t="shared" si="10"/>
        <v>460.37352555701182</v>
      </c>
      <c r="P30" s="780">
        <f t="shared" si="10"/>
        <v>749.8840579710145</v>
      </c>
      <c r="Q30" s="780">
        <f t="shared" si="10"/>
        <v>1143.8816254416961</v>
      </c>
    </row>
    <row r="31" spans="1:19" s="415" customFormat="1" ht="15" x14ac:dyDescent="0.35">
      <c r="A31" s="1615"/>
      <c r="B31" s="1613" t="s">
        <v>300</v>
      </c>
      <c r="C31" s="780">
        <f t="shared" si="4"/>
        <v>3518</v>
      </c>
      <c r="D31" s="780">
        <v>742</v>
      </c>
      <c r="E31" s="316">
        <v>2214</v>
      </c>
      <c r="F31" s="316">
        <v>75</v>
      </c>
      <c r="G31" s="317">
        <v>487</v>
      </c>
      <c r="H31" s="780">
        <f t="shared" si="5"/>
        <v>1813484</v>
      </c>
      <c r="I31" s="780">
        <v>107104</v>
      </c>
      <c r="J31" s="316">
        <v>984929</v>
      </c>
      <c r="K31" s="316">
        <v>57967</v>
      </c>
      <c r="L31" s="781">
        <v>663484</v>
      </c>
      <c r="M31" s="780">
        <f t="shared" si="11"/>
        <v>515.48720864127347</v>
      </c>
      <c r="N31" s="780">
        <f t="shared" si="10"/>
        <v>144.34501347708894</v>
      </c>
      <c r="O31" s="780">
        <f t="shared" si="10"/>
        <v>444.86404697380306</v>
      </c>
      <c r="P31" s="780">
        <f t="shared" si="10"/>
        <v>772.89333333333332</v>
      </c>
      <c r="Q31" s="780">
        <f t="shared" si="10"/>
        <v>1362.3901437371662</v>
      </c>
    </row>
    <row r="32" spans="1:19" s="365" customFormat="1" ht="15.45" thickBot="1" x14ac:dyDescent="0.4">
      <c r="A32" s="1616"/>
      <c r="B32" s="1617" t="s">
        <v>155</v>
      </c>
      <c r="C32" s="683">
        <f t="shared" si="4"/>
        <v>3758</v>
      </c>
      <c r="D32" s="683">
        <v>811</v>
      </c>
      <c r="E32" s="318">
        <v>2391</v>
      </c>
      <c r="F32" s="318">
        <v>80</v>
      </c>
      <c r="G32" s="319">
        <v>476</v>
      </c>
      <c r="H32" s="683">
        <f t="shared" si="5"/>
        <v>1946664</v>
      </c>
      <c r="I32" s="683">
        <v>105967</v>
      </c>
      <c r="J32" s="318">
        <v>1134910</v>
      </c>
      <c r="K32" s="318">
        <v>58621</v>
      </c>
      <c r="L32" s="685">
        <v>647166</v>
      </c>
      <c r="M32" s="683">
        <f t="shared" si="11"/>
        <v>518.00532197977645</v>
      </c>
      <c r="N32" s="683">
        <f t="shared" si="10"/>
        <v>130.66214549938348</v>
      </c>
      <c r="O32" s="683">
        <f t="shared" si="10"/>
        <v>474.65913843580091</v>
      </c>
      <c r="P32" s="683">
        <f t="shared" si="10"/>
        <v>732.76250000000005</v>
      </c>
      <c r="Q32" s="683">
        <f t="shared" si="10"/>
        <v>1359.59243697479</v>
      </c>
    </row>
    <row r="33" spans="1:19" ht="12.9" x14ac:dyDescent="0.35">
      <c r="A33" s="97" t="s">
        <v>110</v>
      </c>
      <c r="B33" s="58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S33" s="731"/>
    </row>
    <row r="34" spans="1:19" ht="12.9" x14ac:dyDescent="0.35">
      <c r="A34" s="97" t="s">
        <v>111</v>
      </c>
      <c r="B34" s="58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S34" s="731"/>
    </row>
    <row r="35" spans="1:19" ht="12.9" x14ac:dyDescent="0.35">
      <c r="A35" s="97" t="s">
        <v>112</v>
      </c>
      <c r="B35" s="58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S35" s="731"/>
    </row>
    <row r="36" spans="1:19" ht="12.9" x14ac:dyDescent="0.35">
      <c r="A36" s="97" t="s">
        <v>442</v>
      </c>
      <c r="B36" s="97"/>
      <c r="C36" s="2"/>
      <c r="D36" s="413"/>
      <c r="E36" s="2"/>
      <c r="F36" s="2"/>
      <c r="G36" s="2"/>
      <c r="H36" s="2"/>
      <c r="I36" s="413"/>
      <c r="J36" s="2"/>
      <c r="K36" s="2"/>
      <c r="L36" s="2"/>
      <c r="S36" s="731"/>
    </row>
    <row r="37" spans="1:19" ht="12.9" x14ac:dyDescent="0.35">
      <c r="A37" s="1"/>
      <c r="B37" s="2"/>
      <c r="C37" s="2"/>
      <c r="D37" s="413"/>
      <c r="E37" s="2"/>
      <c r="F37" s="2"/>
      <c r="G37" s="2"/>
      <c r="H37" s="2"/>
      <c r="I37" s="413"/>
      <c r="J37" s="2"/>
      <c r="K37" s="2"/>
      <c r="L37" s="2"/>
      <c r="S37" s="731"/>
    </row>
    <row r="38" spans="1:19" x14ac:dyDescent="0.3">
      <c r="J38" t="s">
        <v>108</v>
      </c>
    </row>
    <row r="39" spans="1:19" x14ac:dyDescent="0.3">
      <c r="D39" s="412" t="s">
        <v>108</v>
      </c>
      <c r="G39" t="s">
        <v>108</v>
      </c>
    </row>
    <row r="41" spans="1:19" x14ac:dyDescent="0.3">
      <c r="H41" t="s">
        <v>108</v>
      </c>
    </row>
    <row r="44" spans="1:19" x14ac:dyDescent="0.3">
      <c r="G44" t="s">
        <v>108</v>
      </c>
    </row>
    <row r="48" spans="1:19" x14ac:dyDescent="0.3">
      <c r="J48" t="s">
        <v>315</v>
      </c>
    </row>
  </sheetData>
  <mergeCells count="3">
    <mergeCell ref="C8:G8"/>
    <mergeCell ref="H8:L8"/>
    <mergeCell ref="M8:Q8"/>
  </mergeCells>
  <pageMargins left="0.7" right="0.7" top="0.75" bottom="0.75" header="0.3" footer="0.3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/>
  <dimension ref="A2:G28"/>
  <sheetViews>
    <sheetView showGridLines="0" showRuler="0" zoomScaleNormal="100" workbookViewId="0">
      <selection activeCell="A2" sqref="A2:A4"/>
    </sheetView>
  </sheetViews>
  <sheetFormatPr baseColWidth="10" defaultRowHeight="12.45" x14ac:dyDescent="0.3"/>
  <cols>
    <col min="1" max="1" width="7.69140625" customWidth="1"/>
    <col min="2" max="2" width="28.4609375" customWidth="1"/>
    <col min="11" max="11" width="11.4609375" customWidth="1"/>
  </cols>
  <sheetData>
    <row r="2" spans="1:6" x14ac:dyDescent="0.3">
      <c r="A2" s="189" t="s">
        <v>0</v>
      </c>
    </row>
    <row r="4" spans="1:6" x14ac:dyDescent="0.3">
      <c r="A4" t="str">
        <f>A6</f>
        <v>Tabell 3 -8 - A-2 - Dagaktivitetstilbud for demente - hittil i år</v>
      </c>
    </row>
    <row r="5" spans="1:6" x14ac:dyDescent="0.3">
      <c r="A5" s="122"/>
    </row>
    <row r="6" spans="1:6" ht="12.9" thickBot="1" x14ac:dyDescent="0.35">
      <c r="A6" s="7" t="s">
        <v>394</v>
      </c>
      <c r="B6" s="190"/>
      <c r="C6" s="190"/>
      <c r="D6" s="190"/>
      <c r="E6" s="190"/>
      <c r="F6" s="190"/>
    </row>
    <row r="7" spans="1:6" ht="13.95" customHeight="1" thickBot="1" x14ac:dyDescent="0.35">
      <c r="A7" s="191"/>
      <c r="B7" s="192"/>
      <c r="C7" s="1690" t="s">
        <v>233</v>
      </c>
      <c r="D7" s="1691"/>
      <c r="E7" s="1692" t="s">
        <v>326</v>
      </c>
      <c r="F7" s="1693"/>
    </row>
    <row r="8" spans="1:6" ht="62.6" thickBot="1" x14ac:dyDescent="0.35">
      <c r="A8" s="195" t="s">
        <v>2</v>
      </c>
      <c r="B8" s="196" t="s">
        <v>3</v>
      </c>
      <c r="C8" s="197" t="s">
        <v>392</v>
      </c>
      <c r="D8" s="197" t="s">
        <v>393</v>
      </c>
      <c r="E8" s="197" t="s">
        <v>392</v>
      </c>
      <c r="F8" s="1372" t="s">
        <v>393</v>
      </c>
    </row>
    <row r="9" spans="1:6" ht="13.5" customHeight="1" x14ac:dyDescent="0.3">
      <c r="A9" s="201">
        <v>1</v>
      </c>
      <c r="B9" s="202" t="s">
        <v>14</v>
      </c>
      <c r="C9" s="1366">
        <v>20</v>
      </c>
      <c r="D9" s="1367">
        <v>0</v>
      </c>
      <c r="E9" s="1366">
        <v>16905</v>
      </c>
      <c r="F9" s="1367">
        <v>0</v>
      </c>
    </row>
    <row r="10" spans="1:6" x14ac:dyDescent="0.3">
      <c r="A10" s="203">
        <v>2</v>
      </c>
      <c r="B10" s="204" t="s">
        <v>15</v>
      </c>
      <c r="C10" s="1368">
        <v>12</v>
      </c>
      <c r="D10" s="1369">
        <v>25</v>
      </c>
      <c r="E10" s="1368">
        <v>828</v>
      </c>
      <c r="F10" s="1369">
        <v>11831</v>
      </c>
    </row>
    <row r="11" spans="1:6" ht="12.75" customHeight="1" x14ac:dyDescent="0.3">
      <c r="A11" s="203">
        <v>3</v>
      </c>
      <c r="B11" s="204" t="s">
        <v>16</v>
      </c>
      <c r="C11" s="1368">
        <v>46</v>
      </c>
      <c r="D11" s="1369">
        <v>4</v>
      </c>
      <c r="E11" s="1368">
        <v>14496</v>
      </c>
      <c r="F11" s="1369">
        <v>1339</v>
      </c>
    </row>
    <row r="12" spans="1:6" ht="12.75" customHeight="1" x14ac:dyDescent="0.3">
      <c r="A12" s="203">
        <v>4</v>
      </c>
      <c r="B12" s="204" t="s">
        <v>17</v>
      </c>
      <c r="C12" s="1368">
        <v>25</v>
      </c>
      <c r="D12" s="1369">
        <v>7</v>
      </c>
      <c r="E12" s="1368">
        <v>5000</v>
      </c>
      <c r="F12" s="1369">
        <v>13356</v>
      </c>
    </row>
    <row r="13" spans="1:6" ht="12.75" customHeight="1" x14ac:dyDescent="0.3">
      <c r="A13" s="203">
        <v>5</v>
      </c>
      <c r="B13" s="204" t="s">
        <v>18</v>
      </c>
      <c r="C13" s="1368">
        <v>126</v>
      </c>
      <c r="D13" s="1369">
        <v>0</v>
      </c>
      <c r="E13" s="1368">
        <v>40971</v>
      </c>
      <c r="F13" s="1369">
        <v>0</v>
      </c>
    </row>
    <row r="14" spans="1:6" ht="12.75" customHeight="1" x14ac:dyDescent="0.3">
      <c r="A14" s="206">
        <v>6</v>
      </c>
      <c r="B14" s="207" t="s">
        <v>19</v>
      </c>
      <c r="C14" s="1368">
        <v>55</v>
      </c>
      <c r="D14" s="1369">
        <v>2</v>
      </c>
      <c r="E14" s="1368">
        <v>11836</v>
      </c>
      <c r="F14" s="1369">
        <v>792</v>
      </c>
    </row>
    <row r="15" spans="1:6" ht="12.75" customHeight="1" x14ac:dyDescent="0.3">
      <c r="A15" s="206">
        <v>7</v>
      </c>
      <c r="B15" s="207" t="s">
        <v>20</v>
      </c>
      <c r="C15" s="1368">
        <v>55</v>
      </c>
      <c r="D15" s="1369">
        <v>34</v>
      </c>
      <c r="E15" s="1368">
        <v>29137</v>
      </c>
      <c r="F15" s="1369">
        <v>14597</v>
      </c>
    </row>
    <row r="16" spans="1:6" x14ac:dyDescent="0.3">
      <c r="A16" s="203">
        <v>8</v>
      </c>
      <c r="B16" s="204" t="s">
        <v>21</v>
      </c>
      <c r="C16" s="1368">
        <v>121</v>
      </c>
      <c r="D16" s="1369">
        <v>6</v>
      </c>
      <c r="E16" s="1368">
        <v>22418</v>
      </c>
      <c r="F16" s="1369">
        <v>535</v>
      </c>
    </row>
    <row r="17" spans="1:7" ht="12.75" customHeight="1" x14ac:dyDescent="0.3">
      <c r="A17" s="203">
        <v>9</v>
      </c>
      <c r="B17" s="204" t="s">
        <v>22</v>
      </c>
      <c r="C17" s="1368">
        <v>87</v>
      </c>
      <c r="D17" s="1369">
        <v>0</v>
      </c>
      <c r="E17" s="1368">
        <v>0</v>
      </c>
      <c r="F17" s="1369">
        <v>0</v>
      </c>
    </row>
    <row r="18" spans="1:7" ht="12.75" customHeight="1" x14ac:dyDescent="0.3">
      <c r="A18" s="203">
        <v>10</v>
      </c>
      <c r="B18" s="204" t="s">
        <v>23</v>
      </c>
      <c r="C18" s="1368">
        <v>0</v>
      </c>
      <c r="D18" s="1369">
        <v>7</v>
      </c>
      <c r="E18" s="1368">
        <v>0</v>
      </c>
      <c r="F18" s="1369">
        <v>12</v>
      </c>
    </row>
    <row r="19" spans="1:7" ht="12.75" customHeight="1" x14ac:dyDescent="0.3">
      <c r="A19" s="206">
        <v>11</v>
      </c>
      <c r="B19" s="207" t="s">
        <v>24</v>
      </c>
      <c r="C19" s="1368">
        <v>94</v>
      </c>
      <c r="D19" s="1369">
        <v>16</v>
      </c>
      <c r="E19" s="1368">
        <v>35495</v>
      </c>
      <c r="F19" s="1369">
        <v>7280</v>
      </c>
    </row>
    <row r="20" spans="1:7" ht="12.75" customHeight="1" x14ac:dyDescent="0.3">
      <c r="A20" s="203">
        <v>12</v>
      </c>
      <c r="B20" s="204" t="s">
        <v>25</v>
      </c>
      <c r="C20" s="1368">
        <v>23</v>
      </c>
      <c r="D20" s="1369">
        <v>20</v>
      </c>
      <c r="E20" s="1368">
        <v>0</v>
      </c>
      <c r="F20" s="1369">
        <v>2988</v>
      </c>
    </row>
    <row r="21" spans="1:7" ht="12.75" customHeight="1" x14ac:dyDescent="0.3">
      <c r="A21" s="203">
        <v>13</v>
      </c>
      <c r="B21" s="204" t="s">
        <v>26</v>
      </c>
      <c r="C21" s="1368">
        <v>40</v>
      </c>
      <c r="D21" s="1369">
        <v>49</v>
      </c>
      <c r="E21" s="1368">
        <v>13796</v>
      </c>
      <c r="F21" s="1369">
        <v>22780</v>
      </c>
    </row>
    <row r="22" spans="1:7" x14ac:dyDescent="0.3">
      <c r="A22" s="203">
        <v>14</v>
      </c>
      <c r="B22" s="204" t="s">
        <v>27</v>
      </c>
      <c r="C22" s="1368">
        <v>21</v>
      </c>
      <c r="D22" s="1369">
        <v>6</v>
      </c>
      <c r="E22" s="1368">
        <v>7756</v>
      </c>
      <c r="F22" s="1369">
        <v>3822</v>
      </c>
    </row>
    <row r="23" spans="1:7" ht="13.5" customHeight="1" thickBot="1" x14ac:dyDescent="0.35">
      <c r="A23" s="208">
        <v>15</v>
      </c>
      <c r="B23" s="209" t="s">
        <v>28</v>
      </c>
      <c r="C23" s="1370">
        <v>23</v>
      </c>
      <c r="D23" s="1371">
        <v>0</v>
      </c>
      <c r="E23" s="1370">
        <v>0</v>
      </c>
      <c r="F23" s="1371">
        <v>0</v>
      </c>
      <c r="G23" s="122"/>
    </row>
    <row r="24" spans="1:7" s="412" customFormat="1" ht="12.75" customHeight="1" x14ac:dyDescent="0.3">
      <c r="A24" s="1521"/>
      <c r="B24" s="1522" t="s">
        <v>555</v>
      </c>
      <c r="C24" s="1523">
        <f>SUM(C9:C23)</f>
        <v>748</v>
      </c>
      <c r="D24" s="1523">
        <f t="shared" ref="D24:E24" si="0">SUM(D9:D23)</f>
        <v>176</v>
      </c>
      <c r="E24" s="1524">
        <f t="shared" si="0"/>
        <v>198638</v>
      </c>
      <c r="F24" s="1525">
        <f>SUM(F9:F23)</f>
        <v>79332</v>
      </c>
    </row>
    <row r="25" spans="1:7" s="412" customFormat="1" ht="12.75" customHeight="1" x14ac:dyDescent="0.3">
      <c r="A25" s="1526"/>
      <c r="B25" s="1518" t="s">
        <v>552</v>
      </c>
      <c r="C25" s="1519">
        <v>575</v>
      </c>
      <c r="D25" s="1519">
        <v>142</v>
      </c>
      <c r="E25" s="1520">
        <v>119786</v>
      </c>
      <c r="F25" s="1527">
        <v>38934</v>
      </c>
    </row>
    <row r="26" spans="1:7" s="412" customFormat="1" ht="12.75" customHeight="1" thickBot="1" x14ac:dyDescent="0.35">
      <c r="A26" s="1528"/>
      <c r="B26" s="1529" t="s">
        <v>473</v>
      </c>
      <c r="C26" s="1530">
        <v>543</v>
      </c>
      <c r="D26" s="1530">
        <v>110</v>
      </c>
      <c r="E26" s="1531">
        <v>175249</v>
      </c>
      <c r="F26" s="1532">
        <v>65684</v>
      </c>
    </row>
    <row r="27" spans="1:7" ht="12.9" x14ac:dyDescent="0.35">
      <c r="A27" s="917" t="s">
        <v>410</v>
      </c>
    </row>
    <row r="28" spans="1:7" ht="12.9" x14ac:dyDescent="0.35">
      <c r="A28" s="917" t="s">
        <v>411</v>
      </c>
    </row>
  </sheetData>
  <mergeCells count="2">
    <mergeCell ref="C7:D7"/>
    <mergeCell ref="E7:F7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/>
  <dimension ref="A1:Q33"/>
  <sheetViews>
    <sheetView showGridLines="0" zoomScaleNormal="100" workbookViewId="0">
      <selection activeCell="D2" sqref="D2"/>
    </sheetView>
  </sheetViews>
  <sheetFormatPr baseColWidth="10" defaultColWidth="11.4609375" defaultRowHeight="14.15" x14ac:dyDescent="0.35"/>
  <cols>
    <col min="1" max="1" width="8.07421875" style="368" customWidth="1"/>
    <col min="2" max="2" width="25.3046875" style="368" customWidth="1"/>
    <col min="3" max="3" width="22.3046875" style="368" customWidth="1"/>
    <col min="4" max="4" width="19.53515625" style="368" customWidth="1"/>
    <col min="5" max="5" width="19.07421875" style="368" customWidth="1"/>
    <col min="6" max="7" width="11.4609375" style="368"/>
    <col min="8" max="8" width="21" style="368" customWidth="1"/>
    <col min="9" max="16384" width="11.4609375" style="368"/>
  </cols>
  <sheetData>
    <row r="1" spans="1:14" x14ac:dyDescent="0.35">
      <c r="A1" s="189" t="s">
        <v>0</v>
      </c>
    </row>
    <row r="2" spans="1:14" x14ac:dyDescent="0.35">
      <c r="A2" s="412"/>
    </row>
    <row r="3" spans="1:14" x14ac:dyDescent="0.35">
      <c r="A3" s="412" t="str">
        <f>A5</f>
        <v>3-8-B Trygghetsalarmer og velferdsteknologi pr. 31.12.</v>
      </c>
    </row>
    <row r="5" spans="1:14" x14ac:dyDescent="0.35">
      <c r="A5" s="565" t="s">
        <v>602</v>
      </c>
    </row>
    <row r="6" spans="1:14" ht="14.6" thickBot="1" x14ac:dyDescent="0.4"/>
    <row r="7" spans="1:14" ht="85.5" customHeight="1" thickBot="1" x14ac:dyDescent="0.4">
      <c r="A7" s="1022" t="s">
        <v>2</v>
      </c>
      <c r="B7" s="1023" t="s">
        <v>3</v>
      </c>
      <c r="C7" s="895" t="s">
        <v>356</v>
      </c>
      <c r="D7" s="896" t="s">
        <v>357</v>
      </c>
      <c r="E7" s="896" t="s">
        <v>360</v>
      </c>
      <c r="F7" s="896" t="s">
        <v>358</v>
      </c>
      <c r="G7" s="896" t="s">
        <v>359</v>
      </c>
      <c r="H7" s="897" t="s">
        <v>535</v>
      </c>
      <c r="J7" s="368" t="s">
        <v>108</v>
      </c>
      <c r="K7" s="368" t="s">
        <v>108</v>
      </c>
      <c r="L7" s="368" t="s">
        <v>108</v>
      </c>
    </row>
    <row r="8" spans="1:14" x14ac:dyDescent="0.35">
      <c r="A8" s="1024">
        <v>1</v>
      </c>
      <c r="B8" s="1025" t="s">
        <v>14</v>
      </c>
      <c r="C8" s="1533">
        <v>370</v>
      </c>
      <c r="D8" s="701">
        <v>14</v>
      </c>
      <c r="E8" s="701">
        <v>15</v>
      </c>
      <c r="F8" s="701">
        <v>0</v>
      </c>
      <c r="G8" s="701">
        <v>56</v>
      </c>
      <c r="H8" s="701">
        <v>73</v>
      </c>
    </row>
    <row r="9" spans="1:14" x14ac:dyDescent="0.35">
      <c r="A9" s="419">
        <v>2</v>
      </c>
      <c r="B9" s="1125" t="s">
        <v>15</v>
      </c>
      <c r="C9" s="1534">
        <v>425</v>
      </c>
      <c r="D9" s="1126">
        <v>11</v>
      </c>
      <c r="E9" s="1126">
        <v>21</v>
      </c>
      <c r="F9" s="1126">
        <v>0</v>
      </c>
      <c r="G9" s="1126">
        <v>80</v>
      </c>
      <c r="H9" s="1126">
        <v>67</v>
      </c>
    </row>
    <row r="10" spans="1:14" x14ac:dyDescent="0.35">
      <c r="A10" s="419">
        <v>3</v>
      </c>
      <c r="B10" s="1125" t="s">
        <v>16</v>
      </c>
      <c r="C10" s="1534">
        <v>451</v>
      </c>
      <c r="D10" s="1126">
        <v>43</v>
      </c>
      <c r="E10" s="1126">
        <v>14</v>
      </c>
      <c r="F10" s="1126">
        <v>28</v>
      </c>
      <c r="G10" s="1126">
        <v>60</v>
      </c>
      <c r="H10" s="1126">
        <v>76</v>
      </c>
    </row>
    <row r="11" spans="1:14" x14ac:dyDescent="0.35">
      <c r="A11" s="419">
        <v>4</v>
      </c>
      <c r="B11" s="1125" t="s">
        <v>17</v>
      </c>
      <c r="C11" s="1534">
        <v>367</v>
      </c>
      <c r="D11" s="1126">
        <v>11</v>
      </c>
      <c r="E11" s="1126">
        <v>14</v>
      </c>
      <c r="F11" s="1126">
        <v>55</v>
      </c>
      <c r="G11" s="1126">
        <v>103</v>
      </c>
      <c r="H11" s="1126">
        <v>70</v>
      </c>
    </row>
    <row r="12" spans="1:14" x14ac:dyDescent="0.35">
      <c r="A12" s="419">
        <v>5</v>
      </c>
      <c r="B12" s="1125" t="s">
        <v>18</v>
      </c>
      <c r="C12" s="1534">
        <v>812</v>
      </c>
      <c r="D12" s="1126">
        <v>13</v>
      </c>
      <c r="E12" s="1126">
        <v>45</v>
      </c>
      <c r="F12" s="1126">
        <v>0</v>
      </c>
      <c r="G12" s="1126">
        <v>60</v>
      </c>
      <c r="H12" s="1126">
        <v>0</v>
      </c>
    </row>
    <row r="13" spans="1:14" x14ac:dyDescent="0.35">
      <c r="A13" s="419">
        <v>6</v>
      </c>
      <c r="B13" s="1125" t="s">
        <v>19</v>
      </c>
      <c r="C13" s="1534">
        <v>594</v>
      </c>
      <c r="D13" s="1126">
        <v>83</v>
      </c>
      <c r="E13" s="1126">
        <v>25</v>
      </c>
      <c r="F13" s="1126">
        <v>0</v>
      </c>
      <c r="G13" s="1126">
        <v>54</v>
      </c>
      <c r="H13" s="1126">
        <v>0</v>
      </c>
      <c r="N13" s="368" t="s">
        <v>108</v>
      </c>
    </row>
    <row r="14" spans="1:14" x14ac:dyDescent="0.35">
      <c r="A14" s="419">
        <v>7</v>
      </c>
      <c r="B14" s="1125" t="s">
        <v>20</v>
      </c>
      <c r="C14" s="1534">
        <v>717</v>
      </c>
      <c r="D14" s="1126">
        <v>106</v>
      </c>
      <c r="E14" s="1126">
        <v>26</v>
      </c>
      <c r="F14" s="1126">
        <v>0</v>
      </c>
      <c r="G14" s="1126">
        <v>71</v>
      </c>
      <c r="H14" s="1126">
        <v>0</v>
      </c>
    </row>
    <row r="15" spans="1:14" x14ac:dyDescent="0.35">
      <c r="A15" s="419">
        <v>8</v>
      </c>
      <c r="B15" s="1125" t="s">
        <v>21</v>
      </c>
      <c r="C15" s="1534">
        <v>1672</v>
      </c>
      <c r="D15" s="1126">
        <v>20</v>
      </c>
      <c r="E15" s="1126">
        <v>51</v>
      </c>
      <c r="F15" s="1126">
        <v>0</v>
      </c>
      <c r="G15" s="1126">
        <v>17</v>
      </c>
      <c r="H15" s="1126">
        <v>0</v>
      </c>
      <c r="I15" s="287"/>
    </row>
    <row r="16" spans="1:14" x14ac:dyDescent="0.35">
      <c r="A16" s="419">
        <v>9</v>
      </c>
      <c r="B16" s="1125" t="s">
        <v>22</v>
      </c>
      <c r="C16" s="1534">
        <v>573</v>
      </c>
      <c r="D16" s="1126">
        <v>14</v>
      </c>
      <c r="E16" s="1126">
        <v>36</v>
      </c>
      <c r="F16" s="1126">
        <v>0</v>
      </c>
      <c r="G16" s="1126">
        <v>29</v>
      </c>
      <c r="H16" s="1126">
        <v>0</v>
      </c>
    </row>
    <row r="17" spans="1:17" x14ac:dyDescent="0.35">
      <c r="A17" s="419">
        <v>10</v>
      </c>
      <c r="B17" s="1125" t="s">
        <v>23</v>
      </c>
      <c r="C17" s="1534">
        <v>505</v>
      </c>
      <c r="D17" s="1126">
        <v>21</v>
      </c>
      <c r="E17" s="1126">
        <v>30</v>
      </c>
      <c r="F17" s="1126">
        <v>0</v>
      </c>
      <c r="G17" s="1126">
        <v>35</v>
      </c>
      <c r="H17" s="1126">
        <v>0</v>
      </c>
    </row>
    <row r="18" spans="1:17" x14ac:dyDescent="0.35">
      <c r="A18" s="419">
        <v>11</v>
      </c>
      <c r="B18" s="1125" t="s">
        <v>24</v>
      </c>
      <c r="C18" s="1534">
        <v>537</v>
      </c>
      <c r="D18" s="1126">
        <v>43</v>
      </c>
      <c r="E18" s="1126">
        <v>20</v>
      </c>
      <c r="F18" s="1126">
        <v>0</v>
      </c>
      <c r="G18" s="1126">
        <v>60</v>
      </c>
      <c r="H18" s="1126">
        <v>0</v>
      </c>
    </row>
    <row r="19" spans="1:17" x14ac:dyDescent="0.35">
      <c r="A19" s="419">
        <v>12</v>
      </c>
      <c r="B19" s="1125" t="s">
        <v>25</v>
      </c>
      <c r="C19" s="1534">
        <v>822</v>
      </c>
      <c r="D19" s="1126">
        <v>65</v>
      </c>
      <c r="E19" s="1126">
        <v>19</v>
      </c>
      <c r="F19" s="1126">
        <v>0</v>
      </c>
      <c r="G19" s="1126">
        <v>98</v>
      </c>
      <c r="H19" s="1126">
        <v>0</v>
      </c>
    </row>
    <row r="20" spans="1:17" x14ac:dyDescent="0.35">
      <c r="A20" s="419">
        <v>13</v>
      </c>
      <c r="B20" s="1125" t="s">
        <v>26</v>
      </c>
      <c r="C20" s="1534">
        <v>1290</v>
      </c>
      <c r="D20" s="1126">
        <v>20</v>
      </c>
      <c r="E20" s="1126">
        <v>34</v>
      </c>
      <c r="F20" s="1126">
        <v>0</v>
      </c>
      <c r="G20" s="1126">
        <v>55</v>
      </c>
      <c r="H20" s="1126">
        <v>0</v>
      </c>
      <c r="J20" s="368" t="s">
        <v>108</v>
      </c>
      <c r="Q20" s="368" t="s">
        <v>108</v>
      </c>
    </row>
    <row r="21" spans="1:17" x14ac:dyDescent="0.35">
      <c r="A21" s="419">
        <v>14</v>
      </c>
      <c r="B21" s="1125" t="s">
        <v>27</v>
      </c>
      <c r="C21" s="1534">
        <v>882</v>
      </c>
      <c r="D21" s="1126">
        <v>27</v>
      </c>
      <c r="E21" s="1126">
        <v>33</v>
      </c>
      <c r="F21" s="1126">
        <v>0</v>
      </c>
      <c r="G21" s="1126">
        <v>66</v>
      </c>
      <c r="H21" s="1126">
        <v>0</v>
      </c>
    </row>
    <row r="22" spans="1:17" ht="14.6" thickBot="1" x14ac:dyDescent="0.4">
      <c r="A22" s="738">
        <v>15</v>
      </c>
      <c r="B22" s="1373" t="s">
        <v>28</v>
      </c>
      <c r="C22" s="1535">
        <v>294</v>
      </c>
      <c r="D22" s="1195">
        <v>10</v>
      </c>
      <c r="E22" s="1195">
        <v>9</v>
      </c>
      <c r="F22" s="1195">
        <v>0</v>
      </c>
      <c r="G22" s="1195">
        <v>16</v>
      </c>
      <c r="H22" s="1195">
        <v>0</v>
      </c>
    </row>
    <row r="23" spans="1:17" x14ac:dyDescent="0.35">
      <c r="A23" s="1026"/>
      <c r="B23" s="1027" t="s">
        <v>579</v>
      </c>
      <c r="C23" s="1196">
        <f>SUM(C8:C22)</f>
        <v>10311</v>
      </c>
      <c r="D23" s="1028">
        <f>SUM(D8:D22)</f>
        <v>501</v>
      </c>
      <c r="E23" s="1028">
        <f t="shared" ref="E23:H23" si="0">SUM(E8:E22)</f>
        <v>392</v>
      </c>
      <c r="F23" s="1028">
        <f t="shared" si="0"/>
        <v>83</v>
      </c>
      <c r="G23" s="1028">
        <f t="shared" si="0"/>
        <v>860</v>
      </c>
      <c r="H23" s="1028">
        <f t="shared" si="0"/>
        <v>286</v>
      </c>
    </row>
    <row r="24" spans="1:17" x14ac:dyDescent="0.35">
      <c r="A24" s="419"/>
      <c r="B24" s="1125" t="s">
        <v>526</v>
      </c>
      <c r="C24" s="1169">
        <v>9245</v>
      </c>
      <c r="D24" s="1126">
        <v>465</v>
      </c>
      <c r="E24" s="1126">
        <v>308</v>
      </c>
      <c r="F24" s="1126">
        <v>67</v>
      </c>
      <c r="G24" s="1126">
        <v>772</v>
      </c>
      <c r="H24" s="1126">
        <v>254</v>
      </c>
    </row>
    <row r="25" spans="1:17" x14ac:dyDescent="0.35">
      <c r="A25" s="419"/>
      <c r="B25" s="1125" t="s">
        <v>472</v>
      </c>
      <c r="C25" s="1169">
        <v>8970</v>
      </c>
      <c r="D25" s="1126">
        <v>295</v>
      </c>
      <c r="E25" s="1126">
        <v>282</v>
      </c>
      <c r="F25" s="1126">
        <v>107</v>
      </c>
      <c r="G25" s="1126">
        <v>564</v>
      </c>
      <c r="H25" s="1126">
        <v>258</v>
      </c>
    </row>
    <row r="26" spans="1:17" x14ac:dyDescent="0.35">
      <c r="A26" s="419"/>
      <c r="B26" s="1125" t="s">
        <v>431</v>
      </c>
      <c r="C26" s="1169">
        <v>8915</v>
      </c>
      <c r="D26" s="1126">
        <v>314</v>
      </c>
      <c r="E26" s="1126">
        <v>145</v>
      </c>
      <c r="F26" s="1126">
        <v>95</v>
      </c>
      <c r="G26" s="1126">
        <v>472</v>
      </c>
      <c r="H26" s="1126">
        <v>277</v>
      </c>
    </row>
    <row r="27" spans="1:17" x14ac:dyDescent="0.35">
      <c r="A27" s="228"/>
      <c r="B27" s="1020" t="s">
        <v>374</v>
      </c>
      <c r="C27" s="1197">
        <v>8479</v>
      </c>
      <c r="D27" s="699">
        <v>202</v>
      </c>
      <c r="E27" s="699">
        <v>126</v>
      </c>
      <c r="F27" s="699">
        <v>159</v>
      </c>
      <c r="G27" s="699">
        <v>197</v>
      </c>
      <c r="H27" s="699">
        <v>200</v>
      </c>
    </row>
    <row r="28" spans="1:17" x14ac:dyDescent="0.35">
      <c r="A28" s="228"/>
      <c r="B28" s="1020" t="s">
        <v>350</v>
      </c>
      <c r="C28" s="1197">
        <v>9263</v>
      </c>
      <c r="D28" s="699" t="s">
        <v>313</v>
      </c>
      <c r="E28" s="699" t="s">
        <v>313</v>
      </c>
      <c r="F28" s="699" t="s">
        <v>313</v>
      </c>
      <c r="G28" s="699" t="s">
        <v>313</v>
      </c>
      <c r="H28" s="699" t="s">
        <v>313</v>
      </c>
      <c r="J28" s="368" t="s">
        <v>108</v>
      </c>
    </row>
    <row r="29" spans="1:17" x14ac:dyDescent="0.35">
      <c r="A29" s="228"/>
      <c r="B29" s="1020" t="s">
        <v>312</v>
      </c>
      <c r="C29" s="1197">
        <v>9419</v>
      </c>
      <c r="D29" s="699" t="s">
        <v>313</v>
      </c>
      <c r="E29" s="699" t="s">
        <v>313</v>
      </c>
      <c r="F29" s="699" t="s">
        <v>313</v>
      </c>
      <c r="G29" s="699" t="s">
        <v>313</v>
      </c>
      <c r="H29" s="699" t="s">
        <v>313</v>
      </c>
      <c r="K29" s="368" t="s">
        <v>108</v>
      </c>
    </row>
    <row r="30" spans="1:17" ht="14.6" thickBot="1" x14ac:dyDescent="0.4">
      <c r="A30" s="229"/>
      <c r="B30" s="1021" t="s">
        <v>220</v>
      </c>
      <c r="C30" s="1198">
        <v>9741</v>
      </c>
      <c r="D30" s="700" t="s">
        <v>313</v>
      </c>
      <c r="E30" s="700" t="s">
        <v>313</v>
      </c>
      <c r="F30" s="700" t="s">
        <v>313</v>
      </c>
      <c r="G30" s="700" t="s">
        <v>313</v>
      </c>
      <c r="H30" s="700" t="s">
        <v>313</v>
      </c>
    </row>
    <row r="32" spans="1:17" x14ac:dyDescent="0.35">
      <c r="B32" s="368" t="s">
        <v>108</v>
      </c>
      <c r="E32" s="823"/>
      <c r="G32" s="368" t="s">
        <v>108</v>
      </c>
    </row>
    <row r="33" spans="3:5" x14ac:dyDescent="0.35">
      <c r="C33" s="368" t="s">
        <v>108</v>
      </c>
      <c r="E33" s="368" t="s">
        <v>108</v>
      </c>
    </row>
  </sheetData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2"/>
  <sheetViews>
    <sheetView showGridLines="0" workbookViewId="0">
      <selection activeCell="H18" sqref="H18"/>
    </sheetView>
  </sheetViews>
  <sheetFormatPr baseColWidth="10" defaultRowHeight="12.45" x14ac:dyDescent="0.3"/>
  <cols>
    <col min="2" max="2" width="24.4609375" customWidth="1"/>
    <col min="3" max="3" width="22.61328125" customWidth="1"/>
    <col min="4" max="4" width="16" customWidth="1"/>
    <col min="5" max="5" width="26.765625" customWidth="1"/>
  </cols>
  <sheetData>
    <row r="4" spans="1:5" ht="14.15" x14ac:dyDescent="0.35">
      <c r="A4" s="1536" t="s">
        <v>580</v>
      </c>
      <c r="B4" s="368"/>
    </row>
    <row r="5" spans="1:5" ht="14.6" thickBot="1" x14ac:dyDescent="0.4">
      <c r="A5" s="368"/>
      <c r="B5" s="368"/>
    </row>
    <row r="6" spans="1:5" ht="50.15" thickBot="1" x14ac:dyDescent="0.4">
      <c r="A6" s="1537" t="s">
        <v>2</v>
      </c>
      <c r="B6" s="1538" t="s">
        <v>3</v>
      </c>
      <c r="C6" s="1539" t="s">
        <v>581</v>
      </c>
      <c r="D6" s="1540" t="s">
        <v>582</v>
      </c>
      <c r="E6" s="1549" t="s">
        <v>583</v>
      </c>
    </row>
    <row r="7" spans="1:5" ht="14.15" x14ac:dyDescent="0.35">
      <c r="A7" s="419">
        <v>1</v>
      </c>
      <c r="B7" s="1125" t="s">
        <v>14</v>
      </c>
      <c r="C7" s="119">
        <v>140</v>
      </c>
      <c r="D7" s="1546">
        <v>473</v>
      </c>
      <c r="E7" s="1550">
        <f>C7/D7</f>
        <v>0.29598308668076112</v>
      </c>
    </row>
    <row r="8" spans="1:5" ht="14.15" x14ac:dyDescent="0.35">
      <c r="A8" s="419">
        <v>2</v>
      </c>
      <c r="B8" s="1125" t="s">
        <v>15</v>
      </c>
      <c r="C8" s="120">
        <v>122</v>
      </c>
      <c r="D8" s="1547">
        <v>494</v>
      </c>
      <c r="E8" s="1551">
        <f t="shared" ref="E8:E22" si="0">C8/D8</f>
        <v>0.24696356275303644</v>
      </c>
    </row>
    <row r="9" spans="1:5" ht="14.15" x14ac:dyDescent="0.35">
      <c r="A9" s="419">
        <v>3</v>
      </c>
      <c r="B9" s="1125" t="s">
        <v>16</v>
      </c>
      <c r="C9" s="120">
        <v>315</v>
      </c>
      <c r="D9" s="1547">
        <v>490</v>
      </c>
      <c r="E9" s="1551">
        <f t="shared" si="0"/>
        <v>0.6428571428571429</v>
      </c>
    </row>
    <row r="10" spans="1:5" ht="14.15" x14ac:dyDescent="0.35">
      <c r="A10" s="419">
        <v>4</v>
      </c>
      <c r="B10" s="1125" t="s">
        <v>17</v>
      </c>
      <c r="C10" s="120">
        <v>173</v>
      </c>
      <c r="D10" s="1547">
        <v>376</v>
      </c>
      <c r="E10" s="1551">
        <f t="shared" si="0"/>
        <v>0.46010638297872342</v>
      </c>
    </row>
    <row r="11" spans="1:5" ht="14.15" x14ac:dyDescent="0.35">
      <c r="A11" s="419">
        <v>5</v>
      </c>
      <c r="B11" s="1125" t="s">
        <v>18</v>
      </c>
      <c r="C11" s="120">
        <v>331</v>
      </c>
      <c r="D11" s="1547">
        <v>1020</v>
      </c>
      <c r="E11" s="1551">
        <f t="shared" si="0"/>
        <v>0.32450980392156864</v>
      </c>
    </row>
    <row r="12" spans="1:5" ht="14.15" x14ac:dyDescent="0.35">
      <c r="A12" s="419">
        <v>6</v>
      </c>
      <c r="B12" s="1125" t="s">
        <v>19</v>
      </c>
      <c r="C12" s="120">
        <v>252</v>
      </c>
      <c r="D12" s="1547">
        <v>623</v>
      </c>
      <c r="E12" s="1551">
        <f t="shared" si="0"/>
        <v>0.4044943820224719</v>
      </c>
    </row>
    <row r="13" spans="1:5" ht="14.15" x14ac:dyDescent="0.35">
      <c r="A13" s="419">
        <v>7</v>
      </c>
      <c r="B13" s="1125" t="s">
        <v>20</v>
      </c>
      <c r="C13" s="120">
        <v>463</v>
      </c>
      <c r="D13" s="1547">
        <v>756</v>
      </c>
      <c r="E13" s="1551">
        <f t="shared" si="0"/>
        <v>0.61243386243386244</v>
      </c>
    </row>
    <row r="14" spans="1:5" ht="14.15" x14ac:dyDescent="0.35">
      <c r="A14" s="419">
        <v>8</v>
      </c>
      <c r="B14" s="1125" t="s">
        <v>21</v>
      </c>
      <c r="C14" s="120">
        <v>192</v>
      </c>
      <c r="D14" s="1547">
        <v>796</v>
      </c>
      <c r="E14" s="1551">
        <f t="shared" si="0"/>
        <v>0.24120603015075376</v>
      </c>
    </row>
    <row r="15" spans="1:5" ht="14.15" x14ac:dyDescent="0.35">
      <c r="A15" s="419">
        <v>9</v>
      </c>
      <c r="B15" s="1125" t="s">
        <v>22</v>
      </c>
      <c r="C15" s="120">
        <v>599</v>
      </c>
      <c r="D15" s="1547">
        <v>620</v>
      </c>
      <c r="E15" s="1551">
        <f t="shared" si="0"/>
        <v>0.96612903225806457</v>
      </c>
    </row>
    <row r="16" spans="1:5" ht="14.15" x14ac:dyDescent="0.35">
      <c r="A16" s="419">
        <v>10</v>
      </c>
      <c r="B16" s="1125" t="s">
        <v>23</v>
      </c>
      <c r="C16" s="120">
        <v>141</v>
      </c>
      <c r="D16" s="1547">
        <v>610</v>
      </c>
      <c r="E16" s="1551">
        <f t="shared" si="0"/>
        <v>0.23114754098360657</v>
      </c>
    </row>
    <row r="17" spans="1:5" ht="14.15" x14ac:dyDescent="0.35">
      <c r="A17" s="419">
        <v>11</v>
      </c>
      <c r="B17" s="1125" t="s">
        <v>24</v>
      </c>
      <c r="C17" s="120">
        <v>83</v>
      </c>
      <c r="D17" s="1547">
        <v>569</v>
      </c>
      <c r="E17" s="1551">
        <f t="shared" si="0"/>
        <v>0.14586994727592267</v>
      </c>
    </row>
    <row r="18" spans="1:5" ht="14.15" x14ac:dyDescent="0.35">
      <c r="A18" s="419">
        <v>12</v>
      </c>
      <c r="B18" s="1125" t="s">
        <v>25</v>
      </c>
      <c r="C18" s="120">
        <v>168</v>
      </c>
      <c r="D18" s="1547">
        <v>764</v>
      </c>
      <c r="E18" s="1551">
        <f t="shared" si="0"/>
        <v>0.21989528795811519</v>
      </c>
    </row>
    <row r="19" spans="1:5" ht="14.15" x14ac:dyDescent="0.35">
      <c r="A19" s="419">
        <v>13</v>
      </c>
      <c r="B19" s="1125" t="s">
        <v>26</v>
      </c>
      <c r="C19" s="120">
        <v>311</v>
      </c>
      <c r="D19" s="1547">
        <v>1071</v>
      </c>
      <c r="E19" s="1551">
        <f t="shared" si="0"/>
        <v>0.29038281979458452</v>
      </c>
    </row>
    <row r="20" spans="1:5" ht="14.15" x14ac:dyDescent="0.35">
      <c r="A20" s="419">
        <v>14</v>
      </c>
      <c r="B20" s="1125" t="s">
        <v>27</v>
      </c>
      <c r="C20" s="120">
        <v>366</v>
      </c>
      <c r="D20" s="1547">
        <v>769</v>
      </c>
      <c r="E20" s="1551">
        <f t="shared" si="0"/>
        <v>0.47594278283485048</v>
      </c>
    </row>
    <row r="21" spans="1:5" ht="14.6" thickBot="1" x14ac:dyDescent="0.4">
      <c r="A21" s="1541">
        <v>15</v>
      </c>
      <c r="B21" s="1542" t="s">
        <v>28</v>
      </c>
      <c r="C21" s="1543">
        <v>131</v>
      </c>
      <c r="D21" s="1548">
        <v>420</v>
      </c>
      <c r="E21" s="1552">
        <f t="shared" si="0"/>
        <v>0.31190476190476191</v>
      </c>
    </row>
    <row r="22" spans="1:5" ht="14.6" thickBot="1" x14ac:dyDescent="0.4">
      <c r="A22" s="1544"/>
      <c r="B22" s="1545" t="s">
        <v>555</v>
      </c>
      <c r="C22" s="1553">
        <f>SUM(C7:C21)</f>
        <v>3787</v>
      </c>
      <c r="D22" s="1553">
        <f>SUM(D7:D21)</f>
        <v>9851</v>
      </c>
      <c r="E22" s="1554">
        <f t="shared" si="0"/>
        <v>0.38442797685514163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9"/>
  <dimension ref="A1:AP322"/>
  <sheetViews>
    <sheetView showGridLines="0" zoomScale="90" zoomScaleNormal="90" zoomScaleSheetLayoutView="110" workbookViewId="0">
      <selection activeCell="O6" sqref="O6"/>
    </sheetView>
  </sheetViews>
  <sheetFormatPr baseColWidth="10" defaultColWidth="11.4609375" defaultRowHeight="15.75" customHeight="1" x14ac:dyDescent="0.35"/>
  <cols>
    <col min="1" max="1" width="7" style="230" customWidth="1"/>
    <col min="2" max="2" width="20.84375" style="368" customWidth="1"/>
    <col min="3" max="3" width="6.69140625" style="368" customWidth="1"/>
    <col min="4" max="4" width="9.4609375" style="368" customWidth="1"/>
    <col min="5" max="5" width="9.53515625" style="368" customWidth="1"/>
    <col min="6" max="6" width="10.3046875" style="368" customWidth="1"/>
    <col min="7" max="7" width="5.69140625" style="368" customWidth="1"/>
    <col min="8" max="8" width="6.84375" style="368" customWidth="1"/>
    <col min="9" max="9" width="10.07421875" style="368" customWidth="1"/>
    <col min="10" max="10" width="9.84375" style="368" customWidth="1"/>
    <col min="11" max="11" width="9.69140625" style="368" customWidth="1"/>
    <col min="12" max="12" width="5.69140625" style="368" customWidth="1"/>
    <col min="13" max="13" width="6.3046875" style="368" customWidth="1"/>
    <col min="14" max="14" width="9.3046875" style="368" customWidth="1"/>
    <col min="15" max="15" width="9.07421875" style="368" customWidth="1"/>
    <col min="16" max="16" width="10" style="368" customWidth="1"/>
    <col min="17" max="17" width="5.69140625" style="368" customWidth="1"/>
    <col min="18" max="18" width="11.69140625" style="368" customWidth="1"/>
    <col min="19" max="19" width="7.07421875" style="368" customWidth="1"/>
    <col min="20" max="20" width="11.4609375" style="368" customWidth="1"/>
    <col min="21" max="21" width="9.53515625" style="368" customWidth="1"/>
    <col min="22" max="22" width="20" style="368" customWidth="1"/>
    <col min="23" max="23" width="7.3046875" style="368" customWidth="1"/>
    <col min="24" max="24" width="6.84375" style="368" customWidth="1"/>
    <col min="25" max="25" width="9.4609375" style="368" customWidth="1"/>
    <col min="26" max="26" width="10.4609375" style="368" customWidth="1"/>
    <col min="27" max="27" width="7" style="368" customWidth="1"/>
    <col min="28" max="28" width="8.3046875" style="368" customWidth="1"/>
    <col min="29" max="29" width="6.69140625" style="368" customWidth="1"/>
    <col min="30" max="30" width="9.07421875" style="368" customWidth="1"/>
    <col min="31" max="31" width="10.53515625" style="368" customWidth="1"/>
    <col min="32" max="32" width="6.4609375" style="368" customWidth="1"/>
    <col min="33" max="33" width="7.4609375" style="368" customWidth="1"/>
    <col min="34" max="34" width="8.69140625" style="368" customWidth="1"/>
    <col min="35" max="35" width="8.84375" style="368" customWidth="1"/>
    <col min="36" max="36" width="9.69140625" style="368" customWidth="1"/>
    <col min="37" max="37" width="6.84375" style="368" customWidth="1"/>
    <col min="38" max="38" width="11" style="368" customWidth="1"/>
    <col min="39" max="16384" width="11.4609375" style="368"/>
  </cols>
  <sheetData>
    <row r="1" spans="1:27" ht="15.75" customHeight="1" x14ac:dyDescent="0.35">
      <c r="A1" s="216" t="s">
        <v>0</v>
      </c>
    </row>
    <row r="2" spans="1:27" ht="15.75" customHeight="1" x14ac:dyDescent="0.35">
      <c r="A2" s="216"/>
    </row>
    <row r="3" spans="1:27" ht="15.75" customHeight="1" x14ac:dyDescent="0.35">
      <c r="A3" s="216" t="str">
        <f>A18</f>
        <v>Tabell 3 -9 - A1 -  Beboere med vedtak om bolig til pleie og omsorgsformål - sum alle aldersgrupper - pr. 31.12.  *)</v>
      </c>
    </row>
    <row r="4" spans="1:27" ht="15.75" customHeight="1" x14ac:dyDescent="0.35">
      <c r="A4" s="216" t="str">
        <f>A46</f>
        <v>Tabell 3 -9 - A2 -  Beboere med vedtak om bolig til pleie og omsorgsformål - antall 0 - 17 år - pr. 31.12.  *)</v>
      </c>
    </row>
    <row r="5" spans="1:27" ht="15.75" customHeight="1" x14ac:dyDescent="0.35">
      <c r="A5" s="216" t="str">
        <f>A74</f>
        <v>Tabell 3 -9 - A3 -  Beboere med vedtak om bolig til pleie og omsorgsformål - antall 18 - 49 år - pr. 31.12*)</v>
      </c>
    </row>
    <row r="6" spans="1:27" ht="15.75" customHeight="1" x14ac:dyDescent="0.35">
      <c r="A6" s="216" t="str">
        <f>A101</f>
        <v>Tabell 3 -9 - A4 -  Beboere med vedtak om bolig til pleie og omsorgsformål - antall 50 - 66 år - pr. 31.12.  *)</v>
      </c>
    </row>
    <row r="7" spans="1:27" ht="15.75" customHeight="1" x14ac:dyDescent="0.35">
      <c r="A7" s="216" t="str">
        <f>A128</f>
        <v>Tabell 3 -9 - A5 -  Beboere med vedtak om bolig til pleie og omsorgsformål - antall 67 - 74 år - pr. 31.12.  *)</v>
      </c>
    </row>
    <row r="8" spans="1:27" ht="15.75" customHeight="1" x14ac:dyDescent="0.35">
      <c r="A8" s="216" t="str">
        <f>A155</f>
        <v>Tabell 3 -9 - A6 -  Beboere med vedtak om bolig til pleie og omsorgsformål - antall 75 - 79 år - pr. 31.12.  *)</v>
      </c>
    </row>
    <row r="9" spans="1:27" ht="15.75" customHeight="1" x14ac:dyDescent="0.35">
      <c r="A9" s="216" t="str">
        <f>A183</f>
        <v>Tabell 3 -9 - A7 -  Beboere med vedtak om bolig til pleie og omsorgsformål - antall 80 - 84 år - pr. 31.12.  *)</v>
      </c>
    </row>
    <row r="10" spans="1:27" ht="15.75" customHeight="1" x14ac:dyDescent="0.35">
      <c r="A10" s="216" t="str">
        <f>A211</f>
        <v>Tabell 3 -9 - A8 -  Beboere med vedtak om bolig til pleie og omsorgsformål - antall 85 - 89 år - pr. 31.12.  *)</v>
      </c>
    </row>
    <row r="11" spans="1:27" ht="15.75" customHeight="1" x14ac:dyDescent="0.35">
      <c r="A11" s="216" t="str">
        <f>A239</f>
        <v>Tabell 3 -9 - A9 -  Beboere med vedtak om bolig til pleie og omsorgsformål - antall 90 - 94 år - pr. 31.12.  *)</v>
      </c>
    </row>
    <row r="12" spans="1:27" ht="15.75" customHeight="1" x14ac:dyDescent="0.35">
      <c r="A12" s="216" t="str">
        <f>A266</f>
        <v>Tabell 3 -9 - A10 -  Beboere med vedtak om bolig til pleie og omsorgsformål - antall ≥ 95 år - pr. 31.12.  *)</v>
      </c>
      <c r="AA12" s="368" t="s">
        <v>108</v>
      </c>
    </row>
    <row r="13" spans="1:27" ht="15.75" customHeight="1" x14ac:dyDescent="0.35">
      <c r="A13" s="216" t="str">
        <f>A295</f>
        <v>Tabell 3 -9 - A11 -  Beboere med vedtak om bolig til pleie og omsorgsformål - sum antall  ≥ 90 år - pr. 31.12.  *)</v>
      </c>
    </row>
    <row r="14" spans="1:27" ht="15.75" customHeight="1" x14ac:dyDescent="0.35">
      <c r="A14" s="216"/>
    </row>
    <row r="15" spans="1:27" ht="15.75" customHeight="1" x14ac:dyDescent="0.35">
      <c r="A15" s="216"/>
    </row>
    <row r="16" spans="1:27" ht="15.75" customHeight="1" x14ac:dyDescent="0.35">
      <c r="A16" s="216"/>
      <c r="E16" s="872" t="s">
        <v>375</v>
      </c>
    </row>
    <row r="18" spans="1:40" s="217" customFormat="1" ht="15.75" customHeight="1" thickBot="1" x14ac:dyDescent="0.4">
      <c r="A18" s="185" t="s">
        <v>589</v>
      </c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</row>
    <row r="19" spans="1:40" s="219" customFormat="1" ht="15.75" customHeight="1" thickBot="1" x14ac:dyDescent="0.4">
      <c r="A19" s="237"/>
      <c r="B19" s="238"/>
      <c r="C19" s="1696" t="s">
        <v>63</v>
      </c>
      <c r="D19" s="1697"/>
      <c r="E19" s="1697"/>
      <c r="F19" s="1697"/>
      <c r="G19" s="1698"/>
      <c r="H19" s="1696" t="s">
        <v>64</v>
      </c>
      <c r="I19" s="1697"/>
      <c r="J19" s="1697"/>
      <c r="K19" s="1697"/>
      <c r="L19" s="1698"/>
      <c r="M19" s="1696" t="s">
        <v>65</v>
      </c>
      <c r="N19" s="1697"/>
      <c r="O19" s="1697"/>
      <c r="P19" s="1697"/>
      <c r="Q19" s="1697"/>
      <c r="R19" s="169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</row>
    <row r="20" spans="1:40" s="219" customFormat="1" ht="78" customHeight="1" thickBot="1" x14ac:dyDescent="0.4">
      <c r="A20" s="239" t="s">
        <v>2</v>
      </c>
      <c r="B20" s="220" t="s">
        <v>3</v>
      </c>
      <c r="C20" s="269" t="s">
        <v>66</v>
      </c>
      <c r="D20" s="266" t="s">
        <v>296</v>
      </c>
      <c r="E20" s="266" t="s">
        <v>297</v>
      </c>
      <c r="F20" s="266" t="s">
        <v>67</v>
      </c>
      <c r="G20" s="296" t="s">
        <v>68</v>
      </c>
      <c r="H20" s="286" t="s">
        <v>66</v>
      </c>
      <c r="I20" s="266" t="s">
        <v>296</v>
      </c>
      <c r="J20" s="266" t="s">
        <v>297</v>
      </c>
      <c r="K20" s="266" t="s">
        <v>67</v>
      </c>
      <c r="L20" s="296" t="s">
        <v>13</v>
      </c>
      <c r="M20" s="286" t="s">
        <v>66</v>
      </c>
      <c r="N20" s="266" t="s">
        <v>296</v>
      </c>
      <c r="O20" s="266" t="s">
        <v>297</v>
      </c>
      <c r="P20" s="266" t="s">
        <v>67</v>
      </c>
      <c r="Q20" s="296" t="s">
        <v>13</v>
      </c>
      <c r="R20" s="399" t="s">
        <v>69</v>
      </c>
      <c r="T20" s="265" t="s">
        <v>536</v>
      </c>
      <c r="U20" s="368"/>
      <c r="V20" s="368"/>
      <c r="W20" s="368"/>
      <c r="X20" s="368"/>
      <c r="Y20" s="368"/>
      <c r="Z20" s="368"/>
      <c r="AA20" s="368"/>
      <c r="AB20" s="368"/>
      <c r="AC20" s="368"/>
      <c r="AD20" s="368"/>
      <c r="AE20" s="368"/>
      <c r="AF20" s="368"/>
      <c r="AG20" s="368"/>
      <c r="AH20" s="368"/>
      <c r="AI20" s="368"/>
      <c r="AJ20" s="368"/>
      <c r="AK20" s="368"/>
      <c r="AL20" s="368"/>
      <c r="AM20" s="368"/>
      <c r="AN20" s="368"/>
    </row>
    <row r="21" spans="1:40" ht="15.75" customHeight="1" x14ac:dyDescent="0.35">
      <c r="A21" s="243">
        <v>1</v>
      </c>
      <c r="B21" s="222" t="s">
        <v>14</v>
      </c>
      <c r="C21" s="1055">
        <f t="shared" ref="C21:F35" si="0">C49+C77+C104+C131+C158+C186+C214+C242+C269</f>
        <v>57</v>
      </c>
      <c r="D21" s="1056">
        <f t="shared" si="0"/>
        <v>33</v>
      </c>
      <c r="E21" s="1056">
        <f t="shared" si="0"/>
        <v>17</v>
      </c>
      <c r="F21" s="1056">
        <f t="shared" si="0"/>
        <v>29</v>
      </c>
      <c r="G21" s="1057">
        <f t="shared" ref="G21:G35" si="1">SUM(C21:F21)</f>
        <v>136</v>
      </c>
      <c r="H21" s="1055">
        <f t="shared" ref="H21:K35" si="2">H49+H77+H104+H131+H158+H186+H214+H242+H269</f>
        <v>86</v>
      </c>
      <c r="I21" s="1056">
        <f t="shared" si="2"/>
        <v>33</v>
      </c>
      <c r="J21" s="1056">
        <f t="shared" si="2"/>
        <v>19</v>
      </c>
      <c r="K21" s="1056">
        <f t="shared" si="2"/>
        <v>20</v>
      </c>
      <c r="L21" s="1058">
        <f t="shared" ref="L21:L35" si="3">SUM(H21:K21)</f>
        <v>158</v>
      </c>
      <c r="M21" s="1055">
        <f t="shared" ref="M21:M35" si="4">C21+H21</f>
        <v>143</v>
      </c>
      <c r="N21" s="1056">
        <f t="shared" ref="N21:N35" si="5">D21+I21</f>
        <v>66</v>
      </c>
      <c r="O21" s="1056">
        <f t="shared" ref="O21:O35" si="6">E21+J21</f>
        <v>36</v>
      </c>
      <c r="P21" s="1056">
        <f t="shared" ref="P21:P35" si="7">F21+K21</f>
        <v>49</v>
      </c>
      <c r="Q21" s="860">
        <f t="shared" ref="Q21:Q35" si="8">SUM(M21:P21)</f>
        <v>294</v>
      </c>
      <c r="R21" s="861">
        <f t="shared" ref="R21:R35" si="9">SUM(R49,R77,R104,R131,R158,R186,R214,R242,R269)</f>
        <v>128</v>
      </c>
      <c r="S21" s="370"/>
      <c r="T21" s="370"/>
      <c r="W21" s="368" t="s">
        <v>452</v>
      </c>
    </row>
    <row r="22" spans="1:40" ht="15.75" customHeight="1" x14ac:dyDescent="0.35">
      <c r="A22" s="245">
        <v>2</v>
      </c>
      <c r="B22" s="224" t="s">
        <v>15</v>
      </c>
      <c r="C22" s="862">
        <f t="shared" si="0"/>
        <v>35</v>
      </c>
      <c r="D22" s="863">
        <f t="shared" si="0"/>
        <v>0</v>
      </c>
      <c r="E22" s="863">
        <f t="shared" si="0"/>
        <v>13</v>
      </c>
      <c r="F22" s="863">
        <f t="shared" si="0"/>
        <v>33</v>
      </c>
      <c r="G22" s="864">
        <f t="shared" si="1"/>
        <v>81</v>
      </c>
      <c r="H22" s="862">
        <f t="shared" si="2"/>
        <v>83</v>
      </c>
      <c r="I22" s="863">
        <f t="shared" si="2"/>
        <v>0</v>
      </c>
      <c r="J22" s="863">
        <f t="shared" si="2"/>
        <v>9</v>
      </c>
      <c r="K22" s="863">
        <f t="shared" si="2"/>
        <v>31</v>
      </c>
      <c r="L22" s="865">
        <f t="shared" si="3"/>
        <v>123</v>
      </c>
      <c r="M22" s="862">
        <f t="shared" si="4"/>
        <v>118</v>
      </c>
      <c r="N22" s="863">
        <f t="shared" si="5"/>
        <v>0</v>
      </c>
      <c r="O22" s="863">
        <f t="shared" si="6"/>
        <v>22</v>
      </c>
      <c r="P22" s="863">
        <f t="shared" si="7"/>
        <v>64</v>
      </c>
      <c r="Q22" s="865">
        <f t="shared" si="8"/>
        <v>204</v>
      </c>
      <c r="R22" s="866">
        <f t="shared" si="9"/>
        <v>0</v>
      </c>
      <c r="S22" s="370"/>
      <c r="T22" s="370" t="s">
        <v>449</v>
      </c>
      <c r="V22" s="368">
        <f>R92+R119</f>
        <v>18</v>
      </c>
      <c r="W22" s="1128">
        <f>V22/$V$25</f>
        <v>2.8391167192429023E-2</v>
      </c>
    </row>
    <row r="23" spans="1:40" ht="15.75" customHeight="1" x14ac:dyDescent="0.35">
      <c r="A23" s="245">
        <v>3</v>
      </c>
      <c r="B23" s="224" t="s">
        <v>16</v>
      </c>
      <c r="C23" s="862">
        <f t="shared" si="0"/>
        <v>90</v>
      </c>
      <c r="D23" s="863">
        <f t="shared" si="0"/>
        <v>4</v>
      </c>
      <c r="E23" s="863">
        <f t="shared" si="0"/>
        <v>13</v>
      </c>
      <c r="F23" s="863">
        <f t="shared" si="0"/>
        <v>49</v>
      </c>
      <c r="G23" s="864">
        <f t="shared" si="1"/>
        <v>156</v>
      </c>
      <c r="H23" s="862">
        <f t="shared" si="2"/>
        <v>112</v>
      </c>
      <c r="I23" s="863">
        <f t="shared" si="2"/>
        <v>1</v>
      </c>
      <c r="J23" s="863">
        <f t="shared" si="2"/>
        <v>12</v>
      </c>
      <c r="K23" s="863">
        <f t="shared" si="2"/>
        <v>37</v>
      </c>
      <c r="L23" s="865">
        <f t="shared" si="3"/>
        <v>162</v>
      </c>
      <c r="M23" s="862">
        <f t="shared" si="4"/>
        <v>202</v>
      </c>
      <c r="N23" s="863">
        <f t="shared" si="5"/>
        <v>5</v>
      </c>
      <c r="O23" s="863">
        <f t="shared" si="6"/>
        <v>25</v>
      </c>
      <c r="P23" s="863">
        <f t="shared" si="7"/>
        <v>86</v>
      </c>
      <c r="Q23" s="865">
        <f t="shared" si="8"/>
        <v>318</v>
      </c>
      <c r="R23" s="866">
        <f t="shared" si="9"/>
        <v>67</v>
      </c>
      <c r="S23" s="370"/>
      <c r="T23" s="370" t="s">
        <v>450</v>
      </c>
      <c r="V23" s="368">
        <f>R146+R173</f>
        <v>172</v>
      </c>
      <c r="W23" s="1128">
        <f t="shared" ref="W23:W24" si="10">V23/$V$25</f>
        <v>0.27129337539432175</v>
      </c>
    </row>
    <row r="24" spans="1:40" ht="15.75" customHeight="1" x14ac:dyDescent="0.35">
      <c r="A24" s="245">
        <v>4</v>
      </c>
      <c r="B24" s="224" t="s">
        <v>17</v>
      </c>
      <c r="C24" s="862">
        <f t="shared" si="0"/>
        <v>39</v>
      </c>
      <c r="D24" s="863">
        <f t="shared" si="0"/>
        <v>1</v>
      </c>
      <c r="E24" s="863">
        <f t="shared" si="0"/>
        <v>2</v>
      </c>
      <c r="F24" s="863">
        <f t="shared" si="0"/>
        <v>57</v>
      </c>
      <c r="G24" s="864">
        <f t="shared" si="1"/>
        <v>99</v>
      </c>
      <c r="H24" s="862">
        <f t="shared" si="2"/>
        <v>64</v>
      </c>
      <c r="I24" s="863">
        <f t="shared" si="2"/>
        <v>0</v>
      </c>
      <c r="J24" s="863">
        <f t="shared" si="2"/>
        <v>1</v>
      </c>
      <c r="K24" s="863">
        <f t="shared" si="2"/>
        <v>40</v>
      </c>
      <c r="L24" s="865">
        <f t="shared" si="3"/>
        <v>105</v>
      </c>
      <c r="M24" s="862">
        <f t="shared" si="4"/>
        <v>103</v>
      </c>
      <c r="N24" s="863">
        <f t="shared" si="5"/>
        <v>1</v>
      </c>
      <c r="O24" s="863">
        <f t="shared" si="6"/>
        <v>3</v>
      </c>
      <c r="P24" s="863">
        <f t="shared" si="7"/>
        <v>97</v>
      </c>
      <c r="Q24" s="865">
        <f t="shared" si="8"/>
        <v>204</v>
      </c>
      <c r="R24" s="866">
        <f t="shared" si="9"/>
        <v>59</v>
      </c>
      <c r="S24" s="370"/>
      <c r="T24" s="370" t="s">
        <v>451</v>
      </c>
      <c r="V24" s="368">
        <f>R201+R229+R257+R284</f>
        <v>444</v>
      </c>
      <c r="W24" s="1128">
        <f t="shared" si="10"/>
        <v>0.70031545741324919</v>
      </c>
    </row>
    <row r="25" spans="1:40" ht="15.75" customHeight="1" x14ac:dyDescent="0.35">
      <c r="A25" s="245">
        <v>5</v>
      </c>
      <c r="B25" s="224" t="s">
        <v>18</v>
      </c>
      <c r="C25" s="862">
        <f t="shared" si="0"/>
        <v>39</v>
      </c>
      <c r="D25" s="863">
        <f t="shared" si="0"/>
        <v>18</v>
      </c>
      <c r="E25" s="863">
        <f t="shared" si="0"/>
        <v>16</v>
      </c>
      <c r="F25" s="863">
        <f t="shared" si="0"/>
        <v>19</v>
      </c>
      <c r="G25" s="864">
        <f t="shared" si="1"/>
        <v>92</v>
      </c>
      <c r="H25" s="862">
        <f t="shared" si="2"/>
        <v>44</v>
      </c>
      <c r="I25" s="863">
        <f t="shared" si="2"/>
        <v>13</v>
      </c>
      <c r="J25" s="863">
        <f t="shared" si="2"/>
        <v>24</v>
      </c>
      <c r="K25" s="863">
        <f t="shared" si="2"/>
        <v>15</v>
      </c>
      <c r="L25" s="865">
        <f t="shared" si="3"/>
        <v>96</v>
      </c>
      <c r="M25" s="862">
        <f t="shared" si="4"/>
        <v>83</v>
      </c>
      <c r="N25" s="863">
        <f t="shared" si="5"/>
        <v>31</v>
      </c>
      <c r="O25" s="863">
        <f t="shared" si="6"/>
        <v>40</v>
      </c>
      <c r="P25" s="863">
        <f t="shared" si="7"/>
        <v>34</v>
      </c>
      <c r="Q25" s="865">
        <f t="shared" si="8"/>
        <v>188</v>
      </c>
      <c r="R25" s="866">
        <f t="shared" si="9"/>
        <v>1</v>
      </c>
      <c r="S25" s="370"/>
      <c r="T25" s="370"/>
      <c r="V25" s="368">
        <f>SUM(V22:V24)</f>
        <v>634</v>
      </c>
      <c r="W25" s="1128">
        <f>V25/$V$25</f>
        <v>1</v>
      </c>
    </row>
    <row r="26" spans="1:40" ht="15.75" customHeight="1" x14ac:dyDescent="0.35">
      <c r="A26" s="247">
        <v>6</v>
      </c>
      <c r="B26" s="226" t="s">
        <v>19</v>
      </c>
      <c r="C26" s="862">
        <f t="shared" si="0"/>
        <v>13</v>
      </c>
      <c r="D26" s="863">
        <f t="shared" si="0"/>
        <v>0</v>
      </c>
      <c r="E26" s="863">
        <f t="shared" si="0"/>
        <v>24</v>
      </c>
      <c r="F26" s="863">
        <f t="shared" si="0"/>
        <v>21</v>
      </c>
      <c r="G26" s="864">
        <f t="shared" si="1"/>
        <v>58</v>
      </c>
      <c r="H26" s="862">
        <f t="shared" si="2"/>
        <v>37</v>
      </c>
      <c r="I26" s="863">
        <f t="shared" si="2"/>
        <v>0</v>
      </c>
      <c r="J26" s="863">
        <f t="shared" si="2"/>
        <v>15</v>
      </c>
      <c r="K26" s="863">
        <f t="shared" si="2"/>
        <v>8</v>
      </c>
      <c r="L26" s="865">
        <f t="shared" si="3"/>
        <v>60</v>
      </c>
      <c r="M26" s="862">
        <f t="shared" si="4"/>
        <v>50</v>
      </c>
      <c r="N26" s="863">
        <f t="shared" si="5"/>
        <v>0</v>
      </c>
      <c r="O26" s="863">
        <f t="shared" si="6"/>
        <v>39</v>
      </c>
      <c r="P26" s="863">
        <f t="shared" si="7"/>
        <v>29</v>
      </c>
      <c r="Q26" s="865">
        <f t="shared" si="8"/>
        <v>118</v>
      </c>
      <c r="R26" s="866">
        <f t="shared" si="9"/>
        <v>0</v>
      </c>
      <c r="S26" s="370"/>
      <c r="T26" s="370"/>
    </row>
    <row r="27" spans="1:40" ht="15.75" customHeight="1" x14ac:dyDescent="0.35">
      <c r="A27" s="247">
        <v>7</v>
      </c>
      <c r="B27" s="226" t="s">
        <v>20</v>
      </c>
      <c r="C27" s="862">
        <f t="shared" si="0"/>
        <v>16</v>
      </c>
      <c r="D27" s="863">
        <f t="shared" si="0"/>
        <v>0</v>
      </c>
      <c r="E27" s="863">
        <f t="shared" si="0"/>
        <v>38</v>
      </c>
      <c r="F27" s="863">
        <f t="shared" si="0"/>
        <v>11</v>
      </c>
      <c r="G27" s="864">
        <f t="shared" si="1"/>
        <v>65</v>
      </c>
      <c r="H27" s="862">
        <f t="shared" si="2"/>
        <v>40</v>
      </c>
      <c r="I27" s="863">
        <f t="shared" si="2"/>
        <v>2</v>
      </c>
      <c r="J27" s="863">
        <f t="shared" si="2"/>
        <v>41</v>
      </c>
      <c r="K27" s="863">
        <f t="shared" si="2"/>
        <v>10</v>
      </c>
      <c r="L27" s="865">
        <f t="shared" si="3"/>
        <v>93</v>
      </c>
      <c r="M27" s="862">
        <f t="shared" si="4"/>
        <v>56</v>
      </c>
      <c r="N27" s="863">
        <f t="shared" si="5"/>
        <v>2</v>
      </c>
      <c r="O27" s="863">
        <f t="shared" si="6"/>
        <v>79</v>
      </c>
      <c r="P27" s="863">
        <f t="shared" si="7"/>
        <v>21</v>
      </c>
      <c r="Q27" s="865">
        <f t="shared" si="8"/>
        <v>158</v>
      </c>
      <c r="R27" s="866">
        <f t="shared" si="9"/>
        <v>2</v>
      </c>
      <c r="S27" s="370"/>
      <c r="T27" s="370"/>
    </row>
    <row r="28" spans="1:40" ht="15.75" customHeight="1" x14ac:dyDescent="0.35">
      <c r="A28" s="245">
        <v>8</v>
      </c>
      <c r="B28" s="224" t="s">
        <v>21</v>
      </c>
      <c r="C28" s="862">
        <f t="shared" si="0"/>
        <v>45</v>
      </c>
      <c r="D28" s="863">
        <f t="shared" si="0"/>
        <v>16</v>
      </c>
      <c r="E28" s="863">
        <f t="shared" si="0"/>
        <v>44</v>
      </c>
      <c r="F28" s="863">
        <f t="shared" si="0"/>
        <v>50</v>
      </c>
      <c r="G28" s="864">
        <f t="shared" si="1"/>
        <v>155</v>
      </c>
      <c r="H28" s="862">
        <f t="shared" si="2"/>
        <v>45</v>
      </c>
      <c r="I28" s="863">
        <f t="shared" si="2"/>
        <v>6</v>
      </c>
      <c r="J28" s="863">
        <f t="shared" si="2"/>
        <v>29</v>
      </c>
      <c r="K28" s="863">
        <f t="shared" si="2"/>
        <v>18</v>
      </c>
      <c r="L28" s="865">
        <f t="shared" si="3"/>
        <v>98</v>
      </c>
      <c r="M28" s="862">
        <f t="shared" si="4"/>
        <v>90</v>
      </c>
      <c r="N28" s="863">
        <f t="shared" si="5"/>
        <v>22</v>
      </c>
      <c r="O28" s="863">
        <f t="shared" si="6"/>
        <v>73</v>
      </c>
      <c r="P28" s="863">
        <f t="shared" si="7"/>
        <v>68</v>
      </c>
      <c r="Q28" s="865">
        <f t="shared" si="8"/>
        <v>253</v>
      </c>
      <c r="R28" s="866">
        <f t="shared" si="9"/>
        <v>91</v>
      </c>
      <c r="S28" s="370"/>
      <c r="T28" s="370"/>
      <c r="W28" s="368" t="s">
        <v>108</v>
      </c>
    </row>
    <row r="29" spans="1:40" ht="15.75" customHeight="1" x14ac:dyDescent="0.35">
      <c r="A29" s="245">
        <v>9</v>
      </c>
      <c r="B29" s="224" t="s">
        <v>22</v>
      </c>
      <c r="C29" s="862">
        <f t="shared" si="0"/>
        <v>24</v>
      </c>
      <c r="D29" s="863">
        <f t="shared" si="0"/>
        <v>0</v>
      </c>
      <c r="E29" s="863">
        <f t="shared" si="0"/>
        <v>22</v>
      </c>
      <c r="F29" s="863">
        <f t="shared" si="0"/>
        <v>12</v>
      </c>
      <c r="G29" s="864">
        <f t="shared" si="1"/>
        <v>58</v>
      </c>
      <c r="H29" s="862">
        <f t="shared" si="2"/>
        <v>37</v>
      </c>
      <c r="I29" s="863">
        <f t="shared" si="2"/>
        <v>1</v>
      </c>
      <c r="J29" s="863">
        <f t="shared" si="2"/>
        <v>27</v>
      </c>
      <c r="K29" s="863">
        <f t="shared" si="2"/>
        <v>5</v>
      </c>
      <c r="L29" s="865">
        <f t="shared" si="3"/>
        <v>70</v>
      </c>
      <c r="M29" s="862">
        <f t="shared" si="4"/>
        <v>61</v>
      </c>
      <c r="N29" s="863">
        <f t="shared" si="5"/>
        <v>1</v>
      </c>
      <c r="O29" s="863">
        <f t="shared" si="6"/>
        <v>49</v>
      </c>
      <c r="P29" s="863">
        <f t="shared" si="7"/>
        <v>17</v>
      </c>
      <c r="Q29" s="865">
        <f t="shared" si="8"/>
        <v>128</v>
      </c>
      <c r="R29" s="866">
        <f t="shared" si="9"/>
        <v>62</v>
      </c>
      <c r="S29" s="370"/>
      <c r="T29" s="370"/>
    </row>
    <row r="30" spans="1:40" ht="15.75" customHeight="1" x14ac:dyDescent="0.35">
      <c r="A30" s="245">
        <v>10</v>
      </c>
      <c r="B30" s="224" t="s">
        <v>23</v>
      </c>
      <c r="C30" s="862">
        <f t="shared" si="0"/>
        <v>35</v>
      </c>
      <c r="D30" s="863">
        <f t="shared" si="0"/>
        <v>25</v>
      </c>
      <c r="E30" s="863">
        <f t="shared" si="0"/>
        <v>32</v>
      </c>
      <c r="F30" s="863">
        <f t="shared" si="0"/>
        <v>17</v>
      </c>
      <c r="G30" s="864">
        <f t="shared" si="1"/>
        <v>109</v>
      </c>
      <c r="H30" s="862">
        <f t="shared" si="2"/>
        <v>67</v>
      </c>
      <c r="I30" s="863">
        <f t="shared" si="2"/>
        <v>29</v>
      </c>
      <c r="J30" s="863">
        <f t="shared" si="2"/>
        <v>22</v>
      </c>
      <c r="K30" s="863">
        <f t="shared" si="2"/>
        <v>14</v>
      </c>
      <c r="L30" s="865">
        <f t="shared" si="3"/>
        <v>132</v>
      </c>
      <c r="M30" s="862">
        <f t="shared" si="4"/>
        <v>102</v>
      </c>
      <c r="N30" s="863">
        <f t="shared" si="5"/>
        <v>54</v>
      </c>
      <c r="O30" s="863">
        <f t="shared" si="6"/>
        <v>54</v>
      </c>
      <c r="P30" s="863">
        <f t="shared" si="7"/>
        <v>31</v>
      </c>
      <c r="Q30" s="865">
        <f t="shared" si="8"/>
        <v>241</v>
      </c>
      <c r="R30" s="866">
        <f t="shared" si="9"/>
        <v>82</v>
      </c>
      <c r="S30" s="370"/>
      <c r="T30" s="370"/>
    </row>
    <row r="31" spans="1:40" ht="15.75" customHeight="1" x14ac:dyDescent="0.35">
      <c r="A31" s="247">
        <v>11</v>
      </c>
      <c r="B31" s="226" t="s">
        <v>24</v>
      </c>
      <c r="C31" s="862">
        <f t="shared" si="0"/>
        <v>30</v>
      </c>
      <c r="D31" s="863">
        <f t="shared" si="0"/>
        <v>11</v>
      </c>
      <c r="E31" s="863">
        <f t="shared" si="0"/>
        <v>27</v>
      </c>
      <c r="F31" s="863">
        <f t="shared" si="0"/>
        <v>27</v>
      </c>
      <c r="G31" s="864">
        <f t="shared" si="1"/>
        <v>95</v>
      </c>
      <c r="H31" s="862">
        <f t="shared" si="2"/>
        <v>30</v>
      </c>
      <c r="I31" s="863">
        <f t="shared" si="2"/>
        <v>5</v>
      </c>
      <c r="J31" s="863">
        <f t="shared" si="2"/>
        <v>20</v>
      </c>
      <c r="K31" s="863">
        <f t="shared" si="2"/>
        <v>16</v>
      </c>
      <c r="L31" s="865">
        <f t="shared" si="3"/>
        <v>71</v>
      </c>
      <c r="M31" s="862">
        <f t="shared" si="4"/>
        <v>60</v>
      </c>
      <c r="N31" s="863">
        <f t="shared" si="5"/>
        <v>16</v>
      </c>
      <c r="O31" s="863">
        <f t="shared" si="6"/>
        <v>47</v>
      </c>
      <c r="P31" s="863">
        <f t="shared" si="7"/>
        <v>43</v>
      </c>
      <c r="Q31" s="865">
        <f t="shared" si="8"/>
        <v>166</v>
      </c>
      <c r="R31" s="866">
        <f t="shared" si="9"/>
        <v>4</v>
      </c>
      <c r="S31" s="370"/>
      <c r="T31" s="370"/>
    </row>
    <row r="32" spans="1:40" ht="15.75" customHeight="1" x14ac:dyDescent="0.35">
      <c r="A32" s="245">
        <v>12</v>
      </c>
      <c r="B32" s="224" t="s">
        <v>25</v>
      </c>
      <c r="C32" s="862">
        <f t="shared" si="0"/>
        <v>1</v>
      </c>
      <c r="D32" s="863">
        <f t="shared" si="0"/>
        <v>5</v>
      </c>
      <c r="E32" s="863">
        <f t="shared" si="0"/>
        <v>50</v>
      </c>
      <c r="F32" s="863">
        <f t="shared" si="0"/>
        <v>31</v>
      </c>
      <c r="G32" s="864">
        <f t="shared" si="1"/>
        <v>87</v>
      </c>
      <c r="H32" s="862">
        <f t="shared" si="2"/>
        <v>8</v>
      </c>
      <c r="I32" s="863">
        <f t="shared" si="2"/>
        <v>3</v>
      </c>
      <c r="J32" s="863">
        <f t="shared" si="2"/>
        <v>30</v>
      </c>
      <c r="K32" s="863">
        <f t="shared" si="2"/>
        <v>18</v>
      </c>
      <c r="L32" s="865">
        <f t="shared" si="3"/>
        <v>59</v>
      </c>
      <c r="M32" s="862">
        <f t="shared" si="4"/>
        <v>9</v>
      </c>
      <c r="N32" s="863">
        <f t="shared" si="5"/>
        <v>8</v>
      </c>
      <c r="O32" s="863">
        <f t="shared" si="6"/>
        <v>80</v>
      </c>
      <c r="P32" s="863">
        <f t="shared" si="7"/>
        <v>49</v>
      </c>
      <c r="Q32" s="865">
        <f t="shared" si="8"/>
        <v>146</v>
      </c>
      <c r="R32" s="866">
        <f t="shared" si="9"/>
        <v>9</v>
      </c>
      <c r="S32" s="370"/>
      <c r="T32" s="370"/>
    </row>
    <row r="33" spans="1:42" ht="15.75" customHeight="1" x14ac:dyDescent="0.35">
      <c r="A33" s="245">
        <v>13</v>
      </c>
      <c r="B33" s="224" t="s">
        <v>26</v>
      </c>
      <c r="C33" s="862">
        <f t="shared" si="0"/>
        <v>76</v>
      </c>
      <c r="D33" s="863">
        <f t="shared" si="0"/>
        <v>5</v>
      </c>
      <c r="E33" s="863">
        <f t="shared" si="0"/>
        <v>22</v>
      </c>
      <c r="F33" s="863">
        <f t="shared" si="0"/>
        <v>21</v>
      </c>
      <c r="G33" s="864">
        <f t="shared" si="1"/>
        <v>124</v>
      </c>
      <c r="H33" s="862">
        <f t="shared" si="2"/>
        <v>114</v>
      </c>
      <c r="I33" s="863">
        <f t="shared" si="2"/>
        <v>9</v>
      </c>
      <c r="J33" s="863">
        <f t="shared" si="2"/>
        <v>18</v>
      </c>
      <c r="K33" s="863">
        <f t="shared" si="2"/>
        <v>15</v>
      </c>
      <c r="L33" s="865">
        <f t="shared" si="3"/>
        <v>156</v>
      </c>
      <c r="M33" s="862">
        <f t="shared" si="4"/>
        <v>190</v>
      </c>
      <c r="N33" s="863">
        <f t="shared" si="5"/>
        <v>14</v>
      </c>
      <c r="O33" s="863">
        <f t="shared" si="6"/>
        <v>40</v>
      </c>
      <c r="P33" s="863">
        <f t="shared" si="7"/>
        <v>36</v>
      </c>
      <c r="Q33" s="865">
        <f t="shared" si="8"/>
        <v>280</v>
      </c>
      <c r="R33" s="866">
        <f t="shared" si="9"/>
        <v>82</v>
      </c>
      <c r="S33" s="370"/>
      <c r="T33" s="370"/>
    </row>
    <row r="34" spans="1:42" ht="15.75" customHeight="1" x14ac:dyDescent="0.35">
      <c r="A34" s="245">
        <v>14</v>
      </c>
      <c r="B34" s="224" t="s">
        <v>27</v>
      </c>
      <c r="C34" s="862">
        <f t="shared" si="0"/>
        <v>32</v>
      </c>
      <c r="D34" s="863">
        <f t="shared" si="0"/>
        <v>0</v>
      </c>
      <c r="E34" s="863">
        <f t="shared" si="0"/>
        <v>46</v>
      </c>
      <c r="F34" s="863">
        <f t="shared" si="0"/>
        <v>37</v>
      </c>
      <c r="G34" s="864">
        <f t="shared" si="1"/>
        <v>115</v>
      </c>
      <c r="H34" s="862">
        <f t="shared" si="2"/>
        <v>52</v>
      </c>
      <c r="I34" s="863">
        <f t="shared" si="2"/>
        <v>0</v>
      </c>
      <c r="J34" s="863">
        <f t="shared" si="2"/>
        <v>35</v>
      </c>
      <c r="K34" s="863">
        <f t="shared" si="2"/>
        <v>25</v>
      </c>
      <c r="L34" s="865">
        <f t="shared" si="3"/>
        <v>112</v>
      </c>
      <c r="M34" s="862">
        <f t="shared" si="4"/>
        <v>84</v>
      </c>
      <c r="N34" s="863">
        <f t="shared" si="5"/>
        <v>0</v>
      </c>
      <c r="O34" s="863">
        <f t="shared" si="6"/>
        <v>81</v>
      </c>
      <c r="P34" s="863">
        <f t="shared" si="7"/>
        <v>62</v>
      </c>
      <c r="Q34" s="865">
        <f t="shared" si="8"/>
        <v>227</v>
      </c>
      <c r="R34" s="866">
        <f t="shared" si="9"/>
        <v>47</v>
      </c>
      <c r="S34" s="370"/>
      <c r="T34" s="370"/>
    </row>
    <row r="35" spans="1:42" ht="31.5" customHeight="1" thickBot="1" x14ac:dyDescent="0.4">
      <c r="A35" s="248">
        <v>15</v>
      </c>
      <c r="B35" s="227" t="s">
        <v>28</v>
      </c>
      <c r="C35" s="867">
        <f t="shared" si="0"/>
        <v>5</v>
      </c>
      <c r="D35" s="868">
        <f t="shared" si="0"/>
        <v>0</v>
      </c>
      <c r="E35" s="868">
        <f t="shared" si="0"/>
        <v>38</v>
      </c>
      <c r="F35" s="868">
        <f t="shared" si="0"/>
        <v>28</v>
      </c>
      <c r="G35" s="869">
        <f t="shared" si="1"/>
        <v>71</v>
      </c>
      <c r="H35" s="867">
        <f t="shared" si="2"/>
        <v>10</v>
      </c>
      <c r="I35" s="868">
        <f t="shared" si="2"/>
        <v>0</v>
      </c>
      <c r="J35" s="868">
        <f t="shared" si="2"/>
        <v>22</v>
      </c>
      <c r="K35" s="868">
        <f t="shared" si="2"/>
        <v>5</v>
      </c>
      <c r="L35" s="870">
        <f t="shared" si="3"/>
        <v>37</v>
      </c>
      <c r="M35" s="867">
        <f t="shared" si="4"/>
        <v>15</v>
      </c>
      <c r="N35" s="868">
        <f t="shared" si="5"/>
        <v>0</v>
      </c>
      <c r="O35" s="868">
        <f t="shared" si="6"/>
        <v>60</v>
      </c>
      <c r="P35" s="868">
        <f t="shared" si="7"/>
        <v>33</v>
      </c>
      <c r="Q35" s="870">
        <f t="shared" si="8"/>
        <v>108</v>
      </c>
      <c r="R35" s="871">
        <f t="shared" si="9"/>
        <v>0</v>
      </c>
      <c r="S35" s="370"/>
      <c r="T35" s="370"/>
    </row>
    <row r="36" spans="1:42" s="418" customFormat="1" ht="15.75" customHeight="1" x14ac:dyDescent="0.35">
      <c r="A36" s="320"/>
      <c r="B36" s="321" t="s">
        <v>543</v>
      </c>
      <c r="C36" s="322">
        <f t="shared" ref="C36:R36" si="11">SUM(C21:C35)</f>
        <v>537</v>
      </c>
      <c r="D36" s="323">
        <f t="shared" si="11"/>
        <v>118</v>
      </c>
      <c r="E36" s="323">
        <f t="shared" si="11"/>
        <v>404</v>
      </c>
      <c r="F36" s="323">
        <f t="shared" si="11"/>
        <v>442</v>
      </c>
      <c r="G36" s="324">
        <f t="shared" si="11"/>
        <v>1501</v>
      </c>
      <c r="H36" s="322">
        <f t="shared" si="11"/>
        <v>829</v>
      </c>
      <c r="I36" s="323">
        <f t="shared" si="11"/>
        <v>102</v>
      </c>
      <c r="J36" s="323">
        <f t="shared" si="11"/>
        <v>324</v>
      </c>
      <c r="K36" s="323">
        <f t="shared" si="11"/>
        <v>277</v>
      </c>
      <c r="L36" s="324">
        <f t="shared" si="11"/>
        <v>1532</v>
      </c>
      <c r="M36" s="322">
        <f t="shared" si="11"/>
        <v>1366</v>
      </c>
      <c r="N36" s="323">
        <f t="shared" si="11"/>
        <v>220</v>
      </c>
      <c r="O36" s="323">
        <f t="shared" si="11"/>
        <v>728</v>
      </c>
      <c r="P36" s="323">
        <f t="shared" si="11"/>
        <v>719</v>
      </c>
      <c r="Q36" s="324">
        <f t="shared" si="11"/>
        <v>3033</v>
      </c>
      <c r="R36" s="325">
        <f t="shared" si="11"/>
        <v>634</v>
      </c>
      <c r="S36" s="326"/>
      <c r="T36" s="326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</row>
    <row r="37" spans="1:42" s="418" customFormat="1" ht="15.75" customHeight="1" x14ac:dyDescent="0.35">
      <c r="A37" s="382"/>
      <c r="B37" s="371" t="s">
        <v>454</v>
      </c>
      <c r="C37" s="383">
        <v>440</v>
      </c>
      <c r="D37" s="384">
        <v>121</v>
      </c>
      <c r="E37" s="384">
        <v>419</v>
      </c>
      <c r="F37" s="384">
        <v>477</v>
      </c>
      <c r="G37" s="369">
        <v>1457</v>
      </c>
      <c r="H37" s="383">
        <v>650</v>
      </c>
      <c r="I37" s="384">
        <v>106</v>
      </c>
      <c r="J37" s="384">
        <v>312</v>
      </c>
      <c r="K37" s="384">
        <v>317</v>
      </c>
      <c r="L37" s="369">
        <v>1385</v>
      </c>
      <c r="M37" s="383">
        <v>1090</v>
      </c>
      <c r="N37" s="384">
        <v>227</v>
      </c>
      <c r="O37" s="384">
        <v>731</v>
      </c>
      <c r="P37" s="384">
        <v>794</v>
      </c>
      <c r="Q37" s="369">
        <v>2842</v>
      </c>
      <c r="R37" s="385">
        <v>638</v>
      </c>
      <c r="S37" s="326"/>
      <c r="T37" s="326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</row>
    <row r="38" spans="1:42" ht="15.75" customHeight="1" x14ac:dyDescent="0.35">
      <c r="A38" s="382"/>
      <c r="B38" s="371" t="s">
        <v>414</v>
      </c>
      <c r="C38" s="383">
        <v>453</v>
      </c>
      <c r="D38" s="384">
        <v>156</v>
      </c>
      <c r="E38" s="384">
        <v>437</v>
      </c>
      <c r="F38" s="384">
        <v>422</v>
      </c>
      <c r="G38" s="369">
        <v>1468</v>
      </c>
      <c r="H38" s="383">
        <v>759</v>
      </c>
      <c r="I38" s="384">
        <v>102</v>
      </c>
      <c r="J38" s="384">
        <v>339</v>
      </c>
      <c r="K38" s="384">
        <v>291</v>
      </c>
      <c r="L38" s="369">
        <v>1491</v>
      </c>
      <c r="M38" s="383">
        <v>1212</v>
      </c>
      <c r="N38" s="384">
        <v>258</v>
      </c>
      <c r="O38" s="384">
        <v>776</v>
      </c>
      <c r="P38" s="384">
        <v>713</v>
      </c>
      <c r="Q38" s="369">
        <v>2959</v>
      </c>
      <c r="R38" s="385">
        <v>593</v>
      </c>
      <c r="S38" s="370"/>
      <c r="T38" s="370"/>
    </row>
    <row r="39" spans="1:42" ht="15.75" customHeight="1" x14ac:dyDescent="0.35">
      <c r="A39" s="382"/>
      <c r="B39" s="371" t="s">
        <v>366</v>
      </c>
      <c r="C39" s="383">
        <v>469</v>
      </c>
      <c r="D39" s="384">
        <v>134</v>
      </c>
      <c r="E39" s="384">
        <v>392</v>
      </c>
      <c r="F39" s="384">
        <v>433</v>
      </c>
      <c r="G39" s="369">
        <v>1428</v>
      </c>
      <c r="H39" s="383">
        <v>747</v>
      </c>
      <c r="I39" s="384">
        <v>102</v>
      </c>
      <c r="J39" s="384">
        <v>315</v>
      </c>
      <c r="K39" s="384">
        <v>316</v>
      </c>
      <c r="L39" s="369">
        <v>1480</v>
      </c>
      <c r="M39" s="383">
        <v>1216</v>
      </c>
      <c r="N39" s="384">
        <v>236</v>
      </c>
      <c r="O39" s="384">
        <v>707</v>
      </c>
      <c r="P39" s="384">
        <v>749</v>
      </c>
      <c r="Q39" s="369">
        <v>2908</v>
      </c>
      <c r="R39" s="385">
        <v>577</v>
      </c>
      <c r="S39" s="370"/>
      <c r="T39" s="370"/>
      <c r="AP39" s="368" t="s">
        <v>108</v>
      </c>
    </row>
    <row r="40" spans="1:42" ht="15.75" customHeight="1" x14ac:dyDescent="0.35">
      <c r="A40" s="382"/>
      <c r="B40" s="371" t="s">
        <v>333</v>
      </c>
      <c r="C40" s="383">
        <v>461</v>
      </c>
      <c r="D40" s="384">
        <v>138</v>
      </c>
      <c r="E40" s="384">
        <v>364</v>
      </c>
      <c r="F40" s="384">
        <v>437</v>
      </c>
      <c r="G40" s="369">
        <v>1400</v>
      </c>
      <c r="H40" s="383">
        <v>792</v>
      </c>
      <c r="I40" s="384">
        <v>127</v>
      </c>
      <c r="J40" s="384">
        <v>304</v>
      </c>
      <c r="K40" s="384">
        <v>288</v>
      </c>
      <c r="L40" s="369">
        <v>1511</v>
      </c>
      <c r="M40" s="383">
        <v>1253</v>
      </c>
      <c r="N40" s="384">
        <v>265</v>
      </c>
      <c r="O40" s="384">
        <v>668</v>
      </c>
      <c r="P40" s="384">
        <v>725</v>
      </c>
      <c r="Q40" s="369">
        <v>2911</v>
      </c>
      <c r="R40" s="385">
        <v>542</v>
      </c>
      <c r="S40" s="370"/>
      <c r="T40" s="370"/>
    </row>
    <row r="41" spans="1:42" ht="15.75" customHeight="1" x14ac:dyDescent="0.35">
      <c r="A41" s="382"/>
      <c r="B41" s="371" t="s">
        <v>298</v>
      </c>
      <c r="C41" s="383">
        <v>454</v>
      </c>
      <c r="D41" s="384">
        <v>159</v>
      </c>
      <c r="E41" s="384">
        <v>365</v>
      </c>
      <c r="F41" s="384">
        <v>409</v>
      </c>
      <c r="G41" s="369">
        <v>1387</v>
      </c>
      <c r="H41" s="383">
        <v>798</v>
      </c>
      <c r="I41" s="384">
        <v>137</v>
      </c>
      <c r="J41" s="384">
        <v>309</v>
      </c>
      <c r="K41" s="384">
        <v>270</v>
      </c>
      <c r="L41" s="369">
        <v>1514</v>
      </c>
      <c r="M41" s="383">
        <v>1252</v>
      </c>
      <c r="N41" s="384">
        <v>296</v>
      </c>
      <c r="O41" s="384">
        <v>674</v>
      </c>
      <c r="P41" s="384">
        <v>679</v>
      </c>
      <c r="Q41" s="369">
        <v>2901</v>
      </c>
      <c r="R41" s="385">
        <v>545</v>
      </c>
      <c r="S41" s="370"/>
      <c r="T41" s="370"/>
    </row>
    <row r="42" spans="1:42" ht="15.75" customHeight="1" thickBot="1" x14ac:dyDescent="0.4">
      <c r="A42" s="327"/>
      <c r="B42" s="328" t="s">
        <v>132</v>
      </c>
      <c r="C42" s="329">
        <v>483</v>
      </c>
      <c r="D42" s="330">
        <v>171</v>
      </c>
      <c r="E42" s="330">
        <v>346</v>
      </c>
      <c r="F42" s="330">
        <v>402</v>
      </c>
      <c r="G42" s="331">
        <v>1402</v>
      </c>
      <c r="H42" s="329">
        <v>910</v>
      </c>
      <c r="I42" s="330">
        <v>149</v>
      </c>
      <c r="J42" s="330">
        <v>287</v>
      </c>
      <c r="K42" s="330">
        <v>257</v>
      </c>
      <c r="L42" s="331">
        <v>1603</v>
      </c>
      <c r="M42" s="329">
        <v>1393</v>
      </c>
      <c r="N42" s="330">
        <v>320</v>
      </c>
      <c r="O42" s="330">
        <v>633</v>
      </c>
      <c r="P42" s="330">
        <v>659</v>
      </c>
      <c r="Q42" s="331">
        <v>3005</v>
      </c>
      <c r="R42" s="332">
        <v>503</v>
      </c>
      <c r="S42" s="370"/>
      <c r="T42" s="370"/>
    </row>
    <row r="43" spans="1:42" ht="15.75" customHeight="1" x14ac:dyDescent="0.35">
      <c r="A43" s="216" t="s">
        <v>70</v>
      </c>
    </row>
    <row r="44" spans="1:42" s="335" customFormat="1" ht="15.75" customHeight="1" x14ac:dyDescent="0.35">
      <c r="A44" s="333"/>
      <c r="B44" s="334"/>
      <c r="S44" s="336"/>
      <c r="T44" s="336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</row>
    <row r="46" spans="1:42" s="217" customFormat="1" ht="50.25" customHeight="1" thickBot="1" x14ac:dyDescent="0.35">
      <c r="A46" s="185" t="s">
        <v>590</v>
      </c>
    </row>
    <row r="47" spans="1:42" s="219" customFormat="1" ht="22.5" customHeight="1" thickBot="1" x14ac:dyDescent="0.4">
      <c r="A47" s="218"/>
      <c r="B47" s="337"/>
      <c r="C47" s="1699" t="s">
        <v>63</v>
      </c>
      <c r="D47" s="1700"/>
      <c r="E47" s="1700"/>
      <c r="F47" s="1700"/>
      <c r="G47" s="1701"/>
      <c r="H47" s="1699" t="s">
        <v>64</v>
      </c>
      <c r="I47" s="1700"/>
      <c r="J47" s="1700"/>
      <c r="K47" s="1700"/>
      <c r="L47" s="1701"/>
      <c r="M47" s="1699" t="s">
        <v>65</v>
      </c>
      <c r="N47" s="1700"/>
      <c r="O47" s="1700"/>
      <c r="P47" s="1700"/>
      <c r="Q47" s="1700"/>
      <c r="R47" s="1705"/>
    </row>
    <row r="48" spans="1:42" s="219" customFormat="1" ht="91.5" customHeight="1" thickBot="1" x14ac:dyDescent="0.4">
      <c r="A48" s="556" t="s">
        <v>2</v>
      </c>
      <c r="B48" s="220" t="s">
        <v>3</v>
      </c>
      <c r="C48" s="269" t="s">
        <v>66</v>
      </c>
      <c r="D48" s="266" t="s">
        <v>296</v>
      </c>
      <c r="E48" s="266" t="s">
        <v>297</v>
      </c>
      <c r="F48" s="266" t="s">
        <v>67</v>
      </c>
      <c r="G48" s="296" t="s">
        <v>68</v>
      </c>
      <c r="H48" s="286" t="s">
        <v>66</v>
      </c>
      <c r="I48" s="266" t="s">
        <v>296</v>
      </c>
      <c r="J48" s="266" t="s">
        <v>297</v>
      </c>
      <c r="K48" s="266" t="s">
        <v>67</v>
      </c>
      <c r="L48" s="296" t="s">
        <v>13</v>
      </c>
      <c r="M48" s="286" t="s">
        <v>66</v>
      </c>
      <c r="N48" s="266" t="s">
        <v>296</v>
      </c>
      <c r="O48" s="266" t="s">
        <v>297</v>
      </c>
      <c r="P48" s="266" t="s">
        <v>67</v>
      </c>
      <c r="Q48" s="296" t="s">
        <v>13</v>
      </c>
      <c r="R48" s="794" t="s">
        <v>69</v>
      </c>
    </row>
    <row r="49" spans="1:22" ht="15.75" customHeight="1" x14ac:dyDescent="0.35">
      <c r="A49" s="221">
        <v>1</v>
      </c>
      <c r="B49" s="222" t="s">
        <v>14</v>
      </c>
      <c r="C49" s="801">
        <v>0</v>
      </c>
      <c r="D49" s="802">
        <v>0</v>
      </c>
      <c r="E49" s="802">
        <v>5</v>
      </c>
      <c r="F49" s="1383">
        <v>0</v>
      </c>
      <c r="G49" s="375">
        <f t="shared" ref="G49:G63" si="12">SUM(C49:F49)</f>
        <v>5</v>
      </c>
      <c r="H49" s="801">
        <v>0</v>
      </c>
      <c r="I49" s="802">
        <v>0</v>
      </c>
      <c r="J49" s="802">
        <v>8</v>
      </c>
      <c r="K49" s="1383">
        <v>1</v>
      </c>
      <c r="L49" s="375">
        <f t="shared" ref="L49:L63" si="13">SUM(H49:K49)</f>
        <v>9</v>
      </c>
      <c r="M49" s="372">
        <f t="shared" ref="M49:M63" si="14">C49+H49</f>
        <v>0</v>
      </c>
      <c r="N49" s="373">
        <f t="shared" ref="N49:N63" si="15">D49+I49</f>
        <v>0</v>
      </c>
      <c r="O49" s="373">
        <f t="shared" ref="O49:O63" si="16">E49+J49</f>
        <v>13</v>
      </c>
      <c r="P49" s="373">
        <f t="shared" ref="P49:P63" si="17">F49+K49</f>
        <v>1</v>
      </c>
      <c r="Q49" s="375">
        <f t="shared" ref="Q49:Q63" si="18">SUM(M49:P49)</f>
        <v>14</v>
      </c>
      <c r="R49" s="387" t="s">
        <v>126</v>
      </c>
      <c r="S49" s="370"/>
      <c r="T49" s="370"/>
    </row>
    <row r="50" spans="1:22" ht="15.75" customHeight="1" x14ac:dyDescent="0.35">
      <c r="A50" s="223">
        <v>2</v>
      </c>
      <c r="B50" s="224" t="s">
        <v>15</v>
      </c>
      <c r="C50" s="386">
        <v>0</v>
      </c>
      <c r="D50" s="377">
        <v>0</v>
      </c>
      <c r="E50" s="377">
        <v>0</v>
      </c>
      <c r="F50" s="1384">
        <v>0</v>
      </c>
      <c r="G50" s="379">
        <f t="shared" si="12"/>
        <v>0</v>
      </c>
      <c r="H50" s="386">
        <v>0</v>
      </c>
      <c r="I50" s="377">
        <v>0</v>
      </c>
      <c r="J50" s="377">
        <v>0</v>
      </c>
      <c r="K50" s="1384">
        <v>0</v>
      </c>
      <c r="L50" s="379">
        <f t="shared" si="13"/>
        <v>0</v>
      </c>
      <c r="M50" s="376">
        <f t="shared" si="14"/>
        <v>0</v>
      </c>
      <c r="N50" s="377">
        <f t="shared" si="15"/>
        <v>0</v>
      </c>
      <c r="O50" s="377">
        <f t="shared" si="16"/>
        <v>0</v>
      </c>
      <c r="P50" s="377">
        <f t="shared" si="17"/>
        <v>0</v>
      </c>
      <c r="Q50" s="379">
        <f t="shared" si="18"/>
        <v>0</v>
      </c>
      <c r="R50" s="388" t="s">
        <v>126</v>
      </c>
      <c r="S50" s="370"/>
      <c r="T50" s="370"/>
    </row>
    <row r="51" spans="1:22" ht="15.75" customHeight="1" x14ac:dyDescent="0.35">
      <c r="A51" s="223">
        <v>3</v>
      </c>
      <c r="B51" s="224" t="s">
        <v>16</v>
      </c>
      <c r="C51" s="386">
        <v>0</v>
      </c>
      <c r="D51" s="377">
        <v>0</v>
      </c>
      <c r="E51" s="377">
        <v>0</v>
      </c>
      <c r="F51" s="1384">
        <v>0</v>
      </c>
      <c r="G51" s="379">
        <f t="shared" si="12"/>
        <v>0</v>
      </c>
      <c r="H51" s="386">
        <v>0</v>
      </c>
      <c r="I51" s="377">
        <v>0</v>
      </c>
      <c r="J51" s="377">
        <v>0</v>
      </c>
      <c r="K51" s="1384">
        <v>0</v>
      </c>
      <c r="L51" s="379">
        <f t="shared" si="13"/>
        <v>0</v>
      </c>
      <c r="M51" s="376">
        <f t="shared" si="14"/>
        <v>0</v>
      </c>
      <c r="N51" s="377">
        <f t="shared" si="15"/>
        <v>0</v>
      </c>
      <c r="O51" s="377">
        <f t="shared" si="16"/>
        <v>0</v>
      </c>
      <c r="P51" s="377">
        <f t="shared" si="17"/>
        <v>0</v>
      </c>
      <c r="Q51" s="379">
        <f t="shared" si="18"/>
        <v>0</v>
      </c>
      <c r="R51" s="388" t="s">
        <v>126</v>
      </c>
      <c r="S51" s="370"/>
      <c r="T51" s="370"/>
    </row>
    <row r="52" spans="1:22" ht="15.75" customHeight="1" x14ac:dyDescent="0.35">
      <c r="A52" s="223">
        <v>4</v>
      </c>
      <c r="B52" s="224" t="s">
        <v>17</v>
      </c>
      <c r="C52" s="386">
        <v>0</v>
      </c>
      <c r="D52" s="377">
        <v>0</v>
      </c>
      <c r="E52" s="377">
        <v>0</v>
      </c>
      <c r="F52" s="1384">
        <v>0</v>
      </c>
      <c r="G52" s="379">
        <f t="shared" si="12"/>
        <v>0</v>
      </c>
      <c r="H52" s="386">
        <v>0</v>
      </c>
      <c r="I52" s="377">
        <v>0</v>
      </c>
      <c r="J52" s="377">
        <v>0</v>
      </c>
      <c r="K52" s="1384">
        <v>0</v>
      </c>
      <c r="L52" s="379">
        <f t="shared" si="13"/>
        <v>0</v>
      </c>
      <c r="M52" s="376">
        <f t="shared" si="14"/>
        <v>0</v>
      </c>
      <c r="N52" s="377">
        <f t="shared" si="15"/>
        <v>0</v>
      </c>
      <c r="O52" s="377">
        <f t="shared" si="16"/>
        <v>0</v>
      </c>
      <c r="P52" s="377">
        <f t="shared" si="17"/>
        <v>0</v>
      </c>
      <c r="Q52" s="379">
        <f t="shared" si="18"/>
        <v>0</v>
      </c>
      <c r="R52" s="388" t="s">
        <v>126</v>
      </c>
      <c r="S52" s="370"/>
      <c r="T52" s="370"/>
    </row>
    <row r="53" spans="1:22" ht="15.75" customHeight="1" x14ac:dyDescent="0.35">
      <c r="A53" s="223">
        <v>5</v>
      </c>
      <c r="B53" s="224" t="s">
        <v>18</v>
      </c>
      <c r="C53" s="386">
        <v>0</v>
      </c>
      <c r="D53" s="377">
        <v>0</v>
      </c>
      <c r="E53" s="377">
        <v>0</v>
      </c>
      <c r="F53" s="1384">
        <v>0</v>
      </c>
      <c r="G53" s="379">
        <f t="shared" si="12"/>
        <v>0</v>
      </c>
      <c r="H53" s="386">
        <v>0</v>
      </c>
      <c r="I53" s="377">
        <v>0</v>
      </c>
      <c r="J53" s="377">
        <v>0</v>
      </c>
      <c r="K53" s="1384">
        <v>0</v>
      </c>
      <c r="L53" s="379">
        <f t="shared" si="13"/>
        <v>0</v>
      </c>
      <c r="M53" s="376">
        <f t="shared" si="14"/>
        <v>0</v>
      </c>
      <c r="N53" s="377">
        <f t="shared" si="15"/>
        <v>0</v>
      </c>
      <c r="O53" s="377">
        <f t="shared" si="16"/>
        <v>0</v>
      </c>
      <c r="P53" s="377">
        <f t="shared" si="17"/>
        <v>0</v>
      </c>
      <c r="Q53" s="379">
        <f t="shared" si="18"/>
        <v>0</v>
      </c>
      <c r="R53" s="388" t="s">
        <v>126</v>
      </c>
      <c r="S53" s="370"/>
      <c r="T53" s="370" t="s">
        <v>108</v>
      </c>
      <c r="V53" s="368" t="s">
        <v>108</v>
      </c>
    </row>
    <row r="54" spans="1:22" ht="15.75" customHeight="1" x14ac:dyDescent="0.35">
      <c r="A54" s="225">
        <v>6</v>
      </c>
      <c r="B54" s="226" t="s">
        <v>19</v>
      </c>
      <c r="C54" s="386">
        <v>0</v>
      </c>
      <c r="D54" s="377">
        <v>0</v>
      </c>
      <c r="E54" s="377">
        <v>0</v>
      </c>
      <c r="F54" s="1384">
        <v>0</v>
      </c>
      <c r="G54" s="379">
        <f t="shared" si="12"/>
        <v>0</v>
      </c>
      <c r="H54" s="386">
        <v>0</v>
      </c>
      <c r="I54" s="377">
        <v>0</v>
      </c>
      <c r="J54" s="377">
        <v>0</v>
      </c>
      <c r="K54" s="1384">
        <v>0</v>
      </c>
      <c r="L54" s="379">
        <f t="shared" si="13"/>
        <v>0</v>
      </c>
      <c r="M54" s="376">
        <f t="shared" si="14"/>
        <v>0</v>
      </c>
      <c r="N54" s="377">
        <f t="shared" si="15"/>
        <v>0</v>
      </c>
      <c r="O54" s="377">
        <f t="shared" si="16"/>
        <v>0</v>
      </c>
      <c r="P54" s="377">
        <f t="shared" si="17"/>
        <v>0</v>
      </c>
      <c r="Q54" s="379">
        <f t="shared" si="18"/>
        <v>0</v>
      </c>
      <c r="R54" s="388" t="s">
        <v>126</v>
      </c>
      <c r="S54" s="370"/>
      <c r="T54" s="370"/>
    </row>
    <row r="55" spans="1:22" ht="15.75" customHeight="1" x14ac:dyDescent="0.35">
      <c r="A55" s="225">
        <v>7</v>
      </c>
      <c r="B55" s="226" t="s">
        <v>20</v>
      </c>
      <c r="C55" s="386">
        <v>0</v>
      </c>
      <c r="D55" s="377">
        <v>0</v>
      </c>
      <c r="E55" s="377">
        <v>0</v>
      </c>
      <c r="F55" s="1384">
        <v>0</v>
      </c>
      <c r="G55" s="379">
        <f t="shared" si="12"/>
        <v>0</v>
      </c>
      <c r="H55" s="386">
        <v>0</v>
      </c>
      <c r="I55" s="377">
        <v>0</v>
      </c>
      <c r="J55" s="377">
        <v>0</v>
      </c>
      <c r="K55" s="1384">
        <v>0</v>
      </c>
      <c r="L55" s="379">
        <f t="shared" si="13"/>
        <v>0</v>
      </c>
      <c r="M55" s="376">
        <f t="shared" si="14"/>
        <v>0</v>
      </c>
      <c r="N55" s="377">
        <f t="shared" si="15"/>
        <v>0</v>
      </c>
      <c r="O55" s="377">
        <f t="shared" si="16"/>
        <v>0</v>
      </c>
      <c r="P55" s="377">
        <f t="shared" si="17"/>
        <v>0</v>
      </c>
      <c r="Q55" s="379">
        <f t="shared" si="18"/>
        <v>0</v>
      </c>
      <c r="R55" s="388" t="s">
        <v>126</v>
      </c>
      <c r="S55" s="370"/>
      <c r="T55" s="370"/>
      <c r="V55" s="368" t="s">
        <v>108</v>
      </c>
    </row>
    <row r="56" spans="1:22" ht="15.75" customHeight="1" x14ac:dyDescent="0.35">
      <c r="A56" s="223">
        <v>8</v>
      </c>
      <c r="B56" s="224" t="s">
        <v>21</v>
      </c>
      <c r="C56" s="386">
        <v>0</v>
      </c>
      <c r="D56" s="377">
        <v>0</v>
      </c>
      <c r="E56" s="377">
        <v>0</v>
      </c>
      <c r="F56" s="1384">
        <v>0</v>
      </c>
      <c r="G56" s="379">
        <f t="shared" si="12"/>
        <v>0</v>
      </c>
      <c r="H56" s="386">
        <v>0</v>
      </c>
      <c r="I56" s="377">
        <v>0</v>
      </c>
      <c r="J56" s="377">
        <v>0</v>
      </c>
      <c r="K56" s="1384">
        <v>0</v>
      </c>
      <c r="L56" s="379">
        <f t="shared" si="13"/>
        <v>0</v>
      </c>
      <c r="M56" s="376">
        <f t="shared" si="14"/>
        <v>0</v>
      </c>
      <c r="N56" s="377">
        <f t="shared" si="15"/>
        <v>0</v>
      </c>
      <c r="O56" s="377">
        <f t="shared" si="16"/>
        <v>0</v>
      </c>
      <c r="P56" s="377">
        <f t="shared" si="17"/>
        <v>0</v>
      </c>
      <c r="Q56" s="379">
        <f t="shared" si="18"/>
        <v>0</v>
      </c>
      <c r="R56" s="388" t="s">
        <v>126</v>
      </c>
      <c r="S56" s="370"/>
      <c r="T56" s="370"/>
    </row>
    <row r="57" spans="1:22" ht="15.75" customHeight="1" x14ac:dyDescent="0.35">
      <c r="A57" s="223">
        <v>9</v>
      </c>
      <c r="B57" s="224" t="s">
        <v>22</v>
      </c>
      <c r="C57" s="386">
        <v>0</v>
      </c>
      <c r="D57" s="377">
        <v>0</v>
      </c>
      <c r="E57" s="377">
        <v>1</v>
      </c>
      <c r="F57" s="1384">
        <v>0</v>
      </c>
      <c r="G57" s="379">
        <f t="shared" si="12"/>
        <v>1</v>
      </c>
      <c r="H57" s="386">
        <v>0</v>
      </c>
      <c r="I57" s="377">
        <v>0</v>
      </c>
      <c r="J57" s="377">
        <v>0</v>
      </c>
      <c r="K57" s="1384">
        <v>0</v>
      </c>
      <c r="L57" s="379">
        <f t="shared" si="13"/>
        <v>0</v>
      </c>
      <c r="M57" s="376">
        <f t="shared" si="14"/>
        <v>0</v>
      </c>
      <c r="N57" s="377">
        <f t="shared" si="15"/>
        <v>0</v>
      </c>
      <c r="O57" s="377">
        <f t="shared" si="16"/>
        <v>1</v>
      </c>
      <c r="P57" s="377">
        <f t="shared" si="17"/>
        <v>0</v>
      </c>
      <c r="Q57" s="379">
        <f t="shared" si="18"/>
        <v>1</v>
      </c>
      <c r="R57" s="388" t="s">
        <v>126</v>
      </c>
      <c r="S57" s="370"/>
      <c r="T57" s="370"/>
    </row>
    <row r="58" spans="1:22" ht="15.75" customHeight="1" x14ac:dyDescent="0.35">
      <c r="A58" s="223">
        <v>10</v>
      </c>
      <c r="B58" s="224" t="s">
        <v>23</v>
      </c>
      <c r="C58" s="386">
        <v>0</v>
      </c>
      <c r="D58" s="377">
        <v>0</v>
      </c>
      <c r="E58" s="377">
        <v>0</v>
      </c>
      <c r="F58" s="1384">
        <v>0</v>
      </c>
      <c r="G58" s="379">
        <f t="shared" si="12"/>
        <v>0</v>
      </c>
      <c r="H58" s="386">
        <v>0</v>
      </c>
      <c r="I58" s="377">
        <v>0</v>
      </c>
      <c r="J58" s="377">
        <v>0</v>
      </c>
      <c r="K58" s="1384">
        <v>0</v>
      </c>
      <c r="L58" s="379">
        <f t="shared" si="13"/>
        <v>0</v>
      </c>
      <c r="M58" s="376">
        <f t="shared" si="14"/>
        <v>0</v>
      </c>
      <c r="N58" s="377">
        <f t="shared" si="15"/>
        <v>0</v>
      </c>
      <c r="O58" s="377">
        <f t="shared" si="16"/>
        <v>0</v>
      </c>
      <c r="P58" s="377">
        <f t="shared" si="17"/>
        <v>0</v>
      </c>
      <c r="Q58" s="379">
        <f t="shared" si="18"/>
        <v>0</v>
      </c>
      <c r="R58" s="388" t="s">
        <v>126</v>
      </c>
      <c r="S58" s="370"/>
      <c r="T58" s="370"/>
    </row>
    <row r="59" spans="1:22" ht="15.75" customHeight="1" x14ac:dyDescent="0.35">
      <c r="A59" s="225">
        <v>11</v>
      </c>
      <c r="B59" s="226" t="s">
        <v>24</v>
      </c>
      <c r="C59" s="386">
        <v>0</v>
      </c>
      <c r="D59" s="377">
        <v>0</v>
      </c>
      <c r="E59" s="377">
        <v>0</v>
      </c>
      <c r="F59" s="1384">
        <v>0</v>
      </c>
      <c r="G59" s="379">
        <f t="shared" si="12"/>
        <v>0</v>
      </c>
      <c r="H59" s="386">
        <v>0</v>
      </c>
      <c r="I59" s="377">
        <v>0</v>
      </c>
      <c r="J59" s="377">
        <v>0</v>
      </c>
      <c r="K59" s="1384">
        <v>0</v>
      </c>
      <c r="L59" s="379">
        <f t="shared" si="13"/>
        <v>0</v>
      </c>
      <c r="M59" s="376">
        <f t="shared" si="14"/>
        <v>0</v>
      </c>
      <c r="N59" s="377">
        <f t="shared" si="15"/>
        <v>0</v>
      </c>
      <c r="O59" s="377">
        <f t="shared" si="16"/>
        <v>0</v>
      </c>
      <c r="P59" s="377">
        <f t="shared" si="17"/>
        <v>0</v>
      </c>
      <c r="Q59" s="379">
        <f t="shared" si="18"/>
        <v>0</v>
      </c>
      <c r="R59" s="388" t="s">
        <v>126</v>
      </c>
      <c r="S59" s="370"/>
      <c r="T59" s="370"/>
    </row>
    <row r="60" spans="1:22" ht="15.75" customHeight="1" x14ac:dyDescent="0.35">
      <c r="A60" s="223">
        <v>12</v>
      </c>
      <c r="B60" s="224" t="s">
        <v>25</v>
      </c>
      <c r="C60" s="386">
        <v>0</v>
      </c>
      <c r="D60" s="377">
        <v>0</v>
      </c>
      <c r="E60" s="377">
        <v>0</v>
      </c>
      <c r="F60" s="1384">
        <v>0</v>
      </c>
      <c r="G60" s="379">
        <f t="shared" si="12"/>
        <v>0</v>
      </c>
      <c r="H60" s="386">
        <v>0</v>
      </c>
      <c r="I60" s="377">
        <v>0</v>
      </c>
      <c r="J60" s="377">
        <v>0</v>
      </c>
      <c r="K60" s="1384">
        <v>0</v>
      </c>
      <c r="L60" s="379">
        <f t="shared" si="13"/>
        <v>0</v>
      </c>
      <c r="M60" s="376">
        <f t="shared" si="14"/>
        <v>0</v>
      </c>
      <c r="N60" s="377">
        <f t="shared" si="15"/>
        <v>0</v>
      </c>
      <c r="O60" s="377">
        <f t="shared" si="16"/>
        <v>0</v>
      </c>
      <c r="P60" s="377">
        <f t="shared" si="17"/>
        <v>0</v>
      </c>
      <c r="Q60" s="379">
        <f t="shared" si="18"/>
        <v>0</v>
      </c>
      <c r="R60" s="388" t="s">
        <v>126</v>
      </c>
      <c r="S60" s="370"/>
      <c r="T60" s="370"/>
      <c r="V60" s="368" t="s">
        <v>108</v>
      </c>
    </row>
    <row r="61" spans="1:22" ht="15.75" customHeight="1" x14ac:dyDescent="0.35">
      <c r="A61" s="223">
        <v>13</v>
      </c>
      <c r="B61" s="224" t="s">
        <v>26</v>
      </c>
      <c r="C61" s="386">
        <v>0</v>
      </c>
      <c r="D61" s="377">
        <v>0</v>
      </c>
      <c r="E61" s="377">
        <v>0</v>
      </c>
      <c r="F61" s="1384">
        <v>0</v>
      </c>
      <c r="G61" s="379">
        <f t="shared" si="12"/>
        <v>0</v>
      </c>
      <c r="H61" s="386">
        <v>0</v>
      </c>
      <c r="I61" s="377">
        <v>0</v>
      </c>
      <c r="J61" s="377">
        <v>0</v>
      </c>
      <c r="K61" s="1384">
        <v>0</v>
      </c>
      <c r="L61" s="379">
        <f t="shared" si="13"/>
        <v>0</v>
      </c>
      <c r="M61" s="376">
        <f t="shared" si="14"/>
        <v>0</v>
      </c>
      <c r="N61" s="377">
        <f t="shared" si="15"/>
        <v>0</v>
      </c>
      <c r="O61" s="377">
        <f t="shared" si="16"/>
        <v>0</v>
      </c>
      <c r="P61" s="377">
        <f t="shared" si="17"/>
        <v>0</v>
      </c>
      <c r="Q61" s="379">
        <f t="shared" si="18"/>
        <v>0</v>
      </c>
      <c r="R61" s="388" t="s">
        <v>126</v>
      </c>
      <c r="S61" s="370"/>
      <c r="T61" s="370"/>
    </row>
    <row r="62" spans="1:22" ht="15.75" customHeight="1" x14ac:dyDescent="0.35">
      <c r="A62" s="223">
        <v>14</v>
      </c>
      <c r="B62" s="224" t="s">
        <v>27</v>
      </c>
      <c r="C62" s="386">
        <v>0</v>
      </c>
      <c r="D62" s="377">
        <v>0</v>
      </c>
      <c r="E62" s="377">
        <v>2</v>
      </c>
      <c r="F62" s="1384">
        <v>0</v>
      </c>
      <c r="G62" s="379">
        <f t="shared" si="12"/>
        <v>2</v>
      </c>
      <c r="H62" s="386">
        <v>0</v>
      </c>
      <c r="I62" s="377">
        <v>0</v>
      </c>
      <c r="J62" s="377">
        <v>2</v>
      </c>
      <c r="K62" s="1384">
        <v>0</v>
      </c>
      <c r="L62" s="379">
        <f t="shared" si="13"/>
        <v>2</v>
      </c>
      <c r="M62" s="376">
        <f t="shared" si="14"/>
        <v>0</v>
      </c>
      <c r="N62" s="377">
        <f t="shared" si="15"/>
        <v>0</v>
      </c>
      <c r="O62" s="377">
        <f t="shared" si="16"/>
        <v>4</v>
      </c>
      <c r="P62" s="377">
        <f t="shared" si="17"/>
        <v>0</v>
      </c>
      <c r="Q62" s="379">
        <f t="shared" si="18"/>
        <v>4</v>
      </c>
      <c r="R62" s="388" t="s">
        <v>126</v>
      </c>
      <c r="S62" s="370"/>
      <c r="T62" s="370"/>
    </row>
    <row r="63" spans="1:22" ht="33.75" customHeight="1" thickBot="1" x14ac:dyDescent="0.4">
      <c r="A63" s="338">
        <v>15</v>
      </c>
      <c r="B63" s="339" t="s">
        <v>28</v>
      </c>
      <c r="C63" s="389">
        <v>0</v>
      </c>
      <c r="D63" s="390">
        <v>0</v>
      </c>
      <c r="E63" s="390">
        <v>0</v>
      </c>
      <c r="F63" s="1385">
        <v>0</v>
      </c>
      <c r="G63" s="391">
        <f t="shared" si="12"/>
        <v>0</v>
      </c>
      <c r="H63" s="389">
        <v>0</v>
      </c>
      <c r="I63" s="390">
        <v>0</v>
      </c>
      <c r="J63" s="390">
        <v>0</v>
      </c>
      <c r="K63" s="1385">
        <v>0</v>
      </c>
      <c r="L63" s="391">
        <f t="shared" si="13"/>
        <v>0</v>
      </c>
      <c r="M63" s="340">
        <f t="shared" si="14"/>
        <v>0</v>
      </c>
      <c r="N63" s="390">
        <f t="shared" si="15"/>
        <v>0</v>
      </c>
      <c r="O63" s="390">
        <f t="shared" si="16"/>
        <v>0</v>
      </c>
      <c r="P63" s="390">
        <f t="shared" si="17"/>
        <v>0</v>
      </c>
      <c r="Q63" s="391">
        <f t="shared" si="18"/>
        <v>0</v>
      </c>
      <c r="R63" s="392" t="s">
        <v>126</v>
      </c>
      <c r="S63" s="370"/>
      <c r="T63" s="370"/>
    </row>
    <row r="64" spans="1:22" s="418" customFormat="1" ht="24.75" customHeight="1" x14ac:dyDescent="0.35">
      <c r="A64" s="320"/>
      <c r="B64" s="321" t="s">
        <v>543</v>
      </c>
      <c r="C64" s="322">
        <f t="shared" ref="C64:Q64" si="19">SUM(C49:C63)</f>
        <v>0</v>
      </c>
      <c r="D64" s="323">
        <f t="shared" si="19"/>
        <v>0</v>
      </c>
      <c r="E64" s="323">
        <f t="shared" si="19"/>
        <v>8</v>
      </c>
      <c r="F64" s="323">
        <f t="shared" si="19"/>
        <v>0</v>
      </c>
      <c r="G64" s="324">
        <f t="shared" si="19"/>
        <v>8</v>
      </c>
      <c r="H64" s="322">
        <f t="shared" si="19"/>
        <v>0</v>
      </c>
      <c r="I64" s="323">
        <f t="shared" si="19"/>
        <v>0</v>
      </c>
      <c r="J64" s="323">
        <f t="shared" si="19"/>
        <v>10</v>
      </c>
      <c r="K64" s="323">
        <f t="shared" si="19"/>
        <v>1</v>
      </c>
      <c r="L64" s="324">
        <f t="shared" si="19"/>
        <v>11</v>
      </c>
      <c r="M64" s="322">
        <f t="shared" si="19"/>
        <v>0</v>
      </c>
      <c r="N64" s="323">
        <f t="shared" si="19"/>
        <v>0</v>
      </c>
      <c r="O64" s="323">
        <f t="shared" si="19"/>
        <v>18</v>
      </c>
      <c r="P64" s="323">
        <f t="shared" si="19"/>
        <v>1</v>
      </c>
      <c r="Q64" s="324">
        <f t="shared" si="19"/>
        <v>19</v>
      </c>
      <c r="R64" s="1379" t="s">
        <v>126</v>
      </c>
      <c r="S64" s="326"/>
      <c r="T64" s="326"/>
    </row>
    <row r="65" spans="1:34" s="418" customFormat="1" ht="18.75" customHeight="1" x14ac:dyDescent="0.35">
      <c r="A65" s="1374"/>
      <c r="B65" s="226" t="s">
        <v>454</v>
      </c>
      <c r="C65" s="1375">
        <v>0</v>
      </c>
      <c r="D65" s="1376">
        <v>1</v>
      </c>
      <c r="E65" s="1376">
        <v>11</v>
      </c>
      <c r="F65" s="1376">
        <v>0</v>
      </c>
      <c r="G65" s="1377">
        <v>12</v>
      </c>
      <c r="H65" s="1375">
        <v>0</v>
      </c>
      <c r="I65" s="1376">
        <v>0</v>
      </c>
      <c r="J65" s="1376">
        <v>4</v>
      </c>
      <c r="K65" s="1376">
        <v>0</v>
      </c>
      <c r="L65" s="1377">
        <v>4</v>
      </c>
      <c r="M65" s="1375">
        <v>0</v>
      </c>
      <c r="N65" s="1376">
        <v>1</v>
      </c>
      <c r="O65" s="1376">
        <v>15</v>
      </c>
      <c r="P65" s="1376">
        <v>0</v>
      </c>
      <c r="Q65" s="379">
        <v>16</v>
      </c>
      <c r="R65" s="388" t="s">
        <v>126</v>
      </c>
      <c r="S65" s="326"/>
      <c r="T65" s="326"/>
    </row>
    <row r="66" spans="1:34" ht="15.75" customHeight="1" x14ac:dyDescent="0.35">
      <c r="A66" s="225"/>
      <c r="B66" s="226" t="s">
        <v>414</v>
      </c>
      <c r="C66" s="376">
        <v>0</v>
      </c>
      <c r="D66" s="377">
        <v>1</v>
      </c>
      <c r="E66" s="377">
        <v>3</v>
      </c>
      <c r="F66" s="377">
        <v>1</v>
      </c>
      <c r="G66" s="379">
        <v>5</v>
      </c>
      <c r="H66" s="376">
        <v>0</v>
      </c>
      <c r="I66" s="377">
        <v>0</v>
      </c>
      <c r="J66" s="377">
        <v>2</v>
      </c>
      <c r="K66" s="377">
        <v>1</v>
      </c>
      <c r="L66" s="379">
        <v>3</v>
      </c>
      <c r="M66" s="376">
        <v>0</v>
      </c>
      <c r="N66" s="377">
        <v>1</v>
      </c>
      <c r="O66" s="377">
        <v>5</v>
      </c>
      <c r="P66" s="377">
        <v>2</v>
      </c>
      <c r="Q66" s="379">
        <v>8</v>
      </c>
      <c r="R66" s="388" t="s">
        <v>126</v>
      </c>
      <c r="S66" s="370"/>
      <c r="T66" s="370"/>
    </row>
    <row r="67" spans="1:34" ht="15.75" customHeight="1" x14ac:dyDescent="0.35">
      <c r="A67" s="225"/>
      <c r="B67" s="226" t="s">
        <v>366</v>
      </c>
      <c r="C67" s="376">
        <v>0</v>
      </c>
      <c r="D67" s="377">
        <v>1</v>
      </c>
      <c r="E67" s="377">
        <v>3</v>
      </c>
      <c r="F67" s="377">
        <v>0</v>
      </c>
      <c r="G67" s="379">
        <v>4</v>
      </c>
      <c r="H67" s="376">
        <v>0</v>
      </c>
      <c r="I67" s="377">
        <v>0</v>
      </c>
      <c r="J67" s="377">
        <v>3</v>
      </c>
      <c r="K67" s="377">
        <v>1</v>
      </c>
      <c r="L67" s="379">
        <v>4</v>
      </c>
      <c r="M67" s="376">
        <v>0</v>
      </c>
      <c r="N67" s="377">
        <v>1</v>
      </c>
      <c r="O67" s="377">
        <v>6</v>
      </c>
      <c r="P67" s="377">
        <v>1</v>
      </c>
      <c r="Q67" s="379">
        <v>8</v>
      </c>
      <c r="R67" s="388" t="s">
        <v>126</v>
      </c>
      <c r="S67" s="370"/>
      <c r="T67" s="370"/>
    </row>
    <row r="68" spans="1:34" ht="15.75" customHeight="1" x14ac:dyDescent="0.35">
      <c r="A68" s="225"/>
      <c r="B68" s="226" t="s">
        <v>333</v>
      </c>
      <c r="C68" s="376">
        <v>0</v>
      </c>
      <c r="D68" s="377">
        <v>1</v>
      </c>
      <c r="E68" s="377">
        <v>3</v>
      </c>
      <c r="F68" s="377">
        <v>0</v>
      </c>
      <c r="G68" s="379">
        <v>4</v>
      </c>
      <c r="H68" s="376">
        <v>0</v>
      </c>
      <c r="I68" s="377">
        <v>0</v>
      </c>
      <c r="J68" s="377">
        <v>4</v>
      </c>
      <c r="K68" s="377">
        <v>1</v>
      </c>
      <c r="L68" s="379">
        <v>5</v>
      </c>
      <c r="M68" s="376">
        <v>0</v>
      </c>
      <c r="N68" s="377">
        <v>1</v>
      </c>
      <c r="O68" s="377">
        <v>7</v>
      </c>
      <c r="P68" s="377">
        <v>1</v>
      </c>
      <c r="Q68" s="379">
        <v>9</v>
      </c>
      <c r="R68" s="388" t="s">
        <v>126</v>
      </c>
      <c r="S68" s="370"/>
      <c r="T68" s="370"/>
    </row>
    <row r="69" spans="1:34" ht="15.75" customHeight="1" x14ac:dyDescent="0.35">
      <c r="A69" s="225"/>
      <c r="B69" s="226" t="s">
        <v>298</v>
      </c>
      <c r="C69" s="376">
        <v>0</v>
      </c>
      <c r="D69" s="377">
        <v>1</v>
      </c>
      <c r="E69" s="377">
        <v>21</v>
      </c>
      <c r="F69" s="377">
        <v>10</v>
      </c>
      <c r="G69" s="379">
        <v>32</v>
      </c>
      <c r="H69" s="376">
        <v>0</v>
      </c>
      <c r="I69" s="377">
        <v>0</v>
      </c>
      <c r="J69" s="377">
        <v>15</v>
      </c>
      <c r="K69" s="377">
        <v>3</v>
      </c>
      <c r="L69" s="379">
        <v>18</v>
      </c>
      <c r="M69" s="376">
        <v>0</v>
      </c>
      <c r="N69" s="377">
        <v>1</v>
      </c>
      <c r="O69" s="377">
        <v>36</v>
      </c>
      <c r="P69" s="377">
        <v>13</v>
      </c>
      <c r="Q69" s="379">
        <v>50</v>
      </c>
      <c r="R69" s="388" t="s">
        <v>126</v>
      </c>
      <c r="S69" s="370"/>
      <c r="T69" s="370"/>
    </row>
    <row r="70" spans="1:34" ht="15.75" customHeight="1" thickBot="1" x14ac:dyDescent="0.4">
      <c r="A70" s="795"/>
      <c r="B70" s="796" t="s">
        <v>132</v>
      </c>
      <c r="C70" s="340">
        <v>0</v>
      </c>
      <c r="D70" s="390">
        <v>0</v>
      </c>
      <c r="E70" s="390">
        <v>0</v>
      </c>
      <c r="F70" s="390">
        <v>0</v>
      </c>
      <c r="G70" s="391">
        <v>0</v>
      </c>
      <c r="H70" s="340">
        <v>0</v>
      </c>
      <c r="I70" s="390">
        <v>0</v>
      </c>
      <c r="J70" s="390">
        <v>0</v>
      </c>
      <c r="K70" s="390">
        <v>0</v>
      </c>
      <c r="L70" s="391">
        <v>0</v>
      </c>
      <c r="M70" s="340">
        <v>0</v>
      </c>
      <c r="N70" s="390">
        <v>0</v>
      </c>
      <c r="O70" s="390">
        <v>0</v>
      </c>
      <c r="P70" s="390">
        <v>0</v>
      </c>
      <c r="Q70" s="391">
        <v>0</v>
      </c>
      <c r="R70" s="392" t="s">
        <v>126</v>
      </c>
      <c r="S70" s="370"/>
      <c r="T70" s="370"/>
    </row>
    <row r="71" spans="1:34" ht="15.75" customHeight="1" x14ac:dyDescent="0.35">
      <c r="A71" s="216" t="s">
        <v>70</v>
      </c>
    </row>
    <row r="72" spans="1:34" ht="15.75" customHeight="1" x14ac:dyDescent="0.35">
      <c r="K72" s="368" t="s">
        <v>108</v>
      </c>
    </row>
    <row r="74" spans="1:34" s="217" customFormat="1" ht="31.5" customHeight="1" thickBot="1" x14ac:dyDescent="0.35">
      <c r="A74" s="185" t="s">
        <v>591</v>
      </c>
    </row>
    <row r="75" spans="1:34" s="219" customFormat="1" ht="27.75" customHeight="1" thickBot="1" x14ac:dyDescent="0.4">
      <c r="A75" s="237"/>
      <c r="B75" s="238"/>
      <c r="C75" s="1696" t="s">
        <v>63</v>
      </c>
      <c r="D75" s="1697"/>
      <c r="E75" s="1697"/>
      <c r="F75" s="1697"/>
      <c r="G75" s="1698"/>
      <c r="H75" s="1696" t="s">
        <v>64</v>
      </c>
      <c r="I75" s="1697"/>
      <c r="J75" s="1697"/>
      <c r="K75" s="1697"/>
      <c r="L75" s="1698"/>
      <c r="M75" s="1696" t="s">
        <v>65</v>
      </c>
      <c r="N75" s="1697"/>
      <c r="O75" s="1697"/>
      <c r="P75" s="1697"/>
      <c r="Q75" s="1697"/>
      <c r="R75" s="1698"/>
    </row>
    <row r="76" spans="1:34" s="219" customFormat="1" ht="81" customHeight="1" thickBot="1" x14ac:dyDescent="0.4">
      <c r="A76" s="239" t="s">
        <v>2</v>
      </c>
      <c r="B76" s="220" t="s">
        <v>3</v>
      </c>
      <c r="C76" s="269" t="s">
        <v>66</v>
      </c>
      <c r="D76" s="266" t="s">
        <v>296</v>
      </c>
      <c r="E76" s="266" t="s">
        <v>297</v>
      </c>
      <c r="F76" s="266" t="s">
        <v>67</v>
      </c>
      <c r="G76" s="296" t="s">
        <v>68</v>
      </c>
      <c r="H76" s="269" t="s">
        <v>66</v>
      </c>
      <c r="I76" s="266" t="s">
        <v>296</v>
      </c>
      <c r="J76" s="266" t="s">
        <v>297</v>
      </c>
      <c r="K76" s="266" t="s">
        <v>67</v>
      </c>
      <c r="L76" s="296" t="s">
        <v>13</v>
      </c>
      <c r="M76" s="286" t="s">
        <v>66</v>
      </c>
      <c r="N76" s="266" t="s">
        <v>296</v>
      </c>
      <c r="O76" s="266" t="s">
        <v>297</v>
      </c>
      <c r="P76" s="266" t="s">
        <v>67</v>
      </c>
      <c r="Q76" s="296" t="s">
        <v>13</v>
      </c>
      <c r="R76" s="399" t="s">
        <v>69</v>
      </c>
    </row>
    <row r="77" spans="1:34" ht="14.15" x14ac:dyDescent="0.35">
      <c r="A77" s="243">
        <v>1</v>
      </c>
      <c r="B77" s="222" t="s">
        <v>14</v>
      </c>
      <c r="C77" s="801">
        <v>0</v>
      </c>
      <c r="D77" s="802">
        <v>10</v>
      </c>
      <c r="E77" s="802">
        <v>7</v>
      </c>
      <c r="F77" s="1383">
        <v>15</v>
      </c>
      <c r="G77" s="375">
        <f t="shared" ref="G77:G91" si="20">SUM(C77:F77)</f>
        <v>32</v>
      </c>
      <c r="H77" s="801">
        <v>0</v>
      </c>
      <c r="I77" s="802">
        <v>13</v>
      </c>
      <c r="J77" s="802">
        <v>6</v>
      </c>
      <c r="K77" s="1383">
        <v>6</v>
      </c>
      <c r="L77" s="375">
        <f t="shared" ref="L77:L91" si="21">SUM(H77:K77)</f>
        <v>25</v>
      </c>
      <c r="M77" s="372">
        <f t="shared" ref="M77:M91" si="22">C77+H77</f>
        <v>0</v>
      </c>
      <c r="N77" s="373">
        <f t="shared" ref="N77:N91" si="23">D77+I77</f>
        <v>23</v>
      </c>
      <c r="O77" s="373">
        <f t="shared" ref="O77:O91" si="24">E77+J77</f>
        <v>13</v>
      </c>
      <c r="P77" s="373">
        <f t="shared" ref="P77:P91" si="25">F77+K77</f>
        <v>21</v>
      </c>
      <c r="Q77" s="375">
        <f t="shared" ref="Q77:Q91" si="26">SUM(M77:P77)</f>
        <v>57</v>
      </c>
      <c r="R77" s="644">
        <v>0</v>
      </c>
      <c r="S77" s="370"/>
      <c r="T77" s="426"/>
      <c r="U77" s="425"/>
      <c r="V77" s="426"/>
      <c r="W77" s="426"/>
      <c r="X77" s="426"/>
      <c r="Y77" s="426"/>
      <c r="Z77" s="426"/>
      <c r="AA77" s="426"/>
      <c r="AB77" s="426"/>
      <c r="AC77" s="426"/>
      <c r="AD77" s="426"/>
      <c r="AE77" s="426"/>
      <c r="AF77" s="426"/>
      <c r="AG77" s="426"/>
      <c r="AH77" s="426"/>
    </row>
    <row r="78" spans="1:34" ht="14.15" x14ac:dyDescent="0.35">
      <c r="A78" s="245">
        <v>2</v>
      </c>
      <c r="B78" s="224" t="s">
        <v>15</v>
      </c>
      <c r="C78" s="386">
        <v>0</v>
      </c>
      <c r="D78" s="377">
        <v>0</v>
      </c>
      <c r="E78" s="377">
        <v>9</v>
      </c>
      <c r="F78" s="1384">
        <v>14</v>
      </c>
      <c r="G78" s="379">
        <f t="shared" si="20"/>
        <v>23</v>
      </c>
      <c r="H78" s="386">
        <v>0</v>
      </c>
      <c r="I78" s="377">
        <v>0</v>
      </c>
      <c r="J78" s="377">
        <v>4</v>
      </c>
      <c r="K78" s="1384">
        <v>11</v>
      </c>
      <c r="L78" s="379">
        <f t="shared" si="21"/>
        <v>15</v>
      </c>
      <c r="M78" s="376">
        <f t="shared" si="22"/>
        <v>0</v>
      </c>
      <c r="N78" s="377">
        <f t="shared" si="23"/>
        <v>0</v>
      </c>
      <c r="O78" s="377">
        <f t="shared" si="24"/>
        <v>13</v>
      </c>
      <c r="P78" s="377">
        <f t="shared" si="25"/>
        <v>25</v>
      </c>
      <c r="Q78" s="379">
        <f t="shared" si="26"/>
        <v>38</v>
      </c>
      <c r="R78" s="645">
        <v>0</v>
      </c>
      <c r="S78" s="370"/>
      <c r="T78" s="426"/>
      <c r="U78" s="425"/>
      <c r="V78" s="426"/>
      <c r="W78" s="426"/>
      <c r="X78" s="426"/>
      <c r="Y78" s="426"/>
      <c r="Z78" s="426"/>
      <c r="AA78" s="426"/>
      <c r="AB78" s="426"/>
      <c r="AC78" s="426"/>
      <c r="AD78" s="426"/>
      <c r="AE78" s="426"/>
      <c r="AF78" s="426"/>
      <c r="AG78" s="426"/>
      <c r="AH78" s="426"/>
    </row>
    <row r="79" spans="1:34" ht="14.15" x14ac:dyDescent="0.35">
      <c r="A79" s="245">
        <v>3</v>
      </c>
      <c r="B79" s="224" t="s">
        <v>16</v>
      </c>
      <c r="C79" s="386">
        <v>1</v>
      </c>
      <c r="D79" s="377">
        <v>0</v>
      </c>
      <c r="E79" s="377">
        <v>7</v>
      </c>
      <c r="F79" s="1384">
        <v>24</v>
      </c>
      <c r="G79" s="379">
        <f t="shared" si="20"/>
        <v>32</v>
      </c>
      <c r="H79" s="386">
        <v>0</v>
      </c>
      <c r="I79" s="377">
        <v>0</v>
      </c>
      <c r="J79" s="377">
        <v>6</v>
      </c>
      <c r="K79" s="1384">
        <v>16</v>
      </c>
      <c r="L79" s="379">
        <f t="shared" si="21"/>
        <v>22</v>
      </c>
      <c r="M79" s="376">
        <f t="shared" si="22"/>
        <v>1</v>
      </c>
      <c r="N79" s="377">
        <f t="shared" si="23"/>
        <v>0</v>
      </c>
      <c r="O79" s="377">
        <f t="shared" si="24"/>
        <v>13</v>
      </c>
      <c r="P79" s="377">
        <f t="shared" si="25"/>
        <v>40</v>
      </c>
      <c r="Q79" s="379">
        <f t="shared" si="26"/>
        <v>54</v>
      </c>
      <c r="R79" s="645">
        <v>0</v>
      </c>
      <c r="S79" s="370"/>
      <c r="T79" s="426"/>
      <c r="U79" s="425"/>
      <c r="V79" s="426"/>
      <c r="W79" s="426"/>
      <c r="X79" s="426"/>
      <c r="Y79" s="426"/>
      <c r="Z79" s="426"/>
      <c r="AA79" s="426"/>
      <c r="AB79" s="426"/>
      <c r="AC79" s="426"/>
      <c r="AD79" s="426"/>
      <c r="AE79" s="426"/>
      <c r="AF79" s="426"/>
      <c r="AG79" s="426"/>
      <c r="AH79" s="426"/>
    </row>
    <row r="80" spans="1:34" ht="14.15" x14ac:dyDescent="0.35">
      <c r="A80" s="245">
        <v>4</v>
      </c>
      <c r="B80" s="224" t="s">
        <v>17</v>
      </c>
      <c r="C80" s="386">
        <v>0</v>
      </c>
      <c r="D80" s="377">
        <v>0</v>
      </c>
      <c r="E80" s="377">
        <v>1</v>
      </c>
      <c r="F80" s="1384">
        <v>29</v>
      </c>
      <c r="G80" s="379">
        <f t="shared" si="20"/>
        <v>30</v>
      </c>
      <c r="H80" s="386">
        <v>0</v>
      </c>
      <c r="I80" s="377">
        <v>0</v>
      </c>
      <c r="J80" s="377">
        <v>1</v>
      </c>
      <c r="K80" s="1384">
        <v>24</v>
      </c>
      <c r="L80" s="379">
        <f t="shared" si="21"/>
        <v>25</v>
      </c>
      <c r="M80" s="376">
        <f t="shared" si="22"/>
        <v>0</v>
      </c>
      <c r="N80" s="377">
        <f t="shared" si="23"/>
        <v>0</v>
      </c>
      <c r="O80" s="377">
        <f t="shared" si="24"/>
        <v>2</v>
      </c>
      <c r="P80" s="377">
        <f t="shared" si="25"/>
        <v>53</v>
      </c>
      <c r="Q80" s="379">
        <f t="shared" si="26"/>
        <v>55</v>
      </c>
      <c r="R80" s="645">
        <v>0</v>
      </c>
      <c r="S80" s="370"/>
      <c r="T80" s="426"/>
      <c r="U80" s="425"/>
      <c r="V80" s="426"/>
      <c r="W80" s="426"/>
      <c r="X80" s="426"/>
      <c r="Y80" s="426"/>
      <c r="Z80" s="426"/>
      <c r="AA80" s="426"/>
      <c r="AB80" s="426"/>
      <c r="AC80" s="426"/>
      <c r="AD80" s="426"/>
      <c r="AE80" s="426"/>
      <c r="AF80" s="426"/>
      <c r="AG80" s="426"/>
      <c r="AH80" s="426"/>
    </row>
    <row r="81" spans="1:22" ht="14.15" x14ac:dyDescent="0.35">
      <c r="A81" s="245">
        <v>5</v>
      </c>
      <c r="B81" s="224" t="s">
        <v>18</v>
      </c>
      <c r="C81" s="386">
        <v>0</v>
      </c>
      <c r="D81" s="377">
        <v>3</v>
      </c>
      <c r="E81" s="377">
        <v>10</v>
      </c>
      <c r="F81" s="1384">
        <v>9</v>
      </c>
      <c r="G81" s="379">
        <f t="shared" si="20"/>
        <v>22</v>
      </c>
      <c r="H81" s="386">
        <v>0</v>
      </c>
      <c r="I81" s="377">
        <v>3</v>
      </c>
      <c r="J81" s="377">
        <v>15</v>
      </c>
      <c r="K81" s="1384">
        <v>9</v>
      </c>
      <c r="L81" s="379">
        <f t="shared" si="21"/>
        <v>27</v>
      </c>
      <c r="M81" s="376">
        <f t="shared" si="22"/>
        <v>0</v>
      </c>
      <c r="N81" s="377">
        <f t="shared" si="23"/>
        <v>6</v>
      </c>
      <c r="O81" s="377">
        <f t="shared" si="24"/>
        <v>25</v>
      </c>
      <c r="P81" s="377">
        <f t="shared" si="25"/>
        <v>18</v>
      </c>
      <c r="Q81" s="379">
        <f t="shared" si="26"/>
        <v>49</v>
      </c>
      <c r="R81" s="645">
        <v>0</v>
      </c>
      <c r="S81" s="370"/>
      <c r="T81" s="370" t="s">
        <v>108</v>
      </c>
    </row>
    <row r="82" spans="1:22" ht="14.15" x14ac:dyDescent="0.35">
      <c r="A82" s="247">
        <v>6</v>
      </c>
      <c r="B82" s="226" t="s">
        <v>19</v>
      </c>
      <c r="C82" s="386">
        <v>0</v>
      </c>
      <c r="D82" s="377">
        <v>0</v>
      </c>
      <c r="E82" s="377">
        <v>23</v>
      </c>
      <c r="F82" s="1384">
        <v>14</v>
      </c>
      <c r="G82" s="379">
        <f t="shared" si="20"/>
        <v>37</v>
      </c>
      <c r="H82" s="386">
        <v>0</v>
      </c>
      <c r="I82" s="377">
        <v>0</v>
      </c>
      <c r="J82" s="377">
        <v>10</v>
      </c>
      <c r="K82" s="1384">
        <v>6</v>
      </c>
      <c r="L82" s="379">
        <f t="shared" si="21"/>
        <v>16</v>
      </c>
      <c r="M82" s="376">
        <f t="shared" si="22"/>
        <v>0</v>
      </c>
      <c r="N82" s="377">
        <f t="shared" si="23"/>
        <v>0</v>
      </c>
      <c r="O82" s="377">
        <f t="shared" si="24"/>
        <v>33</v>
      </c>
      <c r="P82" s="377">
        <f t="shared" si="25"/>
        <v>20</v>
      </c>
      <c r="Q82" s="379">
        <f t="shared" si="26"/>
        <v>53</v>
      </c>
      <c r="R82" s="645">
        <v>0</v>
      </c>
      <c r="S82" s="370"/>
      <c r="T82" s="370"/>
    </row>
    <row r="83" spans="1:22" ht="14.15" x14ac:dyDescent="0.35">
      <c r="A83" s="247">
        <v>7</v>
      </c>
      <c r="B83" s="226" t="s">
        <v>20</v>
      </c>
      <c r="C83" s="386">
        <v>1</v>
      </c>
      <c r="D83" s="377">
        <v>0</v>
      </c>
      <c r="E83" s="377">
        <v>18</v>
      </c>
      <c r="F83" s="1384">
        <v>8</v>
      </c>
      <c r="G83" s="379">
        <f t="shared" si="20"/>
        <v>27</v>
      </c>
      <c r="H83" s="386">
        <v>1</v>
      </c>
      <c r="I83" s="377">
        <v>0</v>
      </c>
      <c r="J83" s="377">
        <v>23</v>
      </c>
      <c r="K83" s="1384">
        <v>7</v>
      </c>
      <c r="L83" s="379">
        <f t="shared" si="21"/>
        <v>31</v>
      </c>
      <c r="M83" s="376">
        <f t="shared" si="22"/>
        <v>2</v>
      </c>
      <c r="N83" s="377">
        <f t="shared" si="23"/>
        <v>0</v>
      </c>
      <c r="O83" s="377">
        <f t="shared" si="24"/>
        <v>41</v>
      </c>
      <c r="P83" s="377">
        <f t="shared" si="25"/>
        <v>15</v>
      </c>
      <c r="Q83" s="379">
        <f t="shared" si="26"/>
        <v>58</v>
      </c>
      <c r="R83" s="645">
        <v>0</v>
      </c>
      <c r="S83" s="370"/>
      <c r="T83" s="370"/>
    </row>
    <row r="84" spans="1:22" ht="14.15" x14ac:dyDescent="0.35">
      <c r="A84" s="245">
        <v>8</v>
      </c>
      <c r="B84" s="224" t="s">
        <v>21</v>
      </c>
      <c r="C84" s="386">
        <v>0</v>
      </c>
      <c r="D84" s="377">
        <v>8</v>
      </c>
      <c r="E84" s="377">
        <v>33</v>
      </c>
      <c r="F84" s="1384">
        <v>40</v>
      </c>
      <c r="G84" s="379">
        <f t="shared" si="20"/>
        <v>81</v>
      </c>
      <c r="H84" s="386">
        <v>0</v>
      </c>
      <c r="I84" s="377">
        <v>5</v>
      </c>
      <c r="J84" s="377">
        <v>22</v>
      </c>
      <c r="K84" s="1384">
        <v>12</v>
      </c>
      <c r="L84" s="379">
        <f t="shared" si="21"/>
        <v>39</v>
      </c>
      <c r="M84" s="376">
        <f t="shared" si="22"/>
        <v>0</v>
      </c>
      <c r="N84" s="377">
        <f t="shared" si="23"/>
        <v>13</v>
      </c>
      <c r="O84" s="377">
        <f t="shared" si="24"/>
        <v>55</v>
      </c>
      <c r="P84" s="377">
        <f t="shared" si="25"/>
        <v>52</v>
      </c>
      <c r="Q84" s="379">
        <f t="shared" si="26"/>
        <v>120</v>
      </c>
      <c r="R84" s="645">
        <v>0</v>
      </c>
      <c r="S84" s="370"/>
      <c r="T84" s="370"/>
    </row>
    <row r="85" spans="1:22" ht="14.15" x14ac:dyDescent="0.35">
      <c r="A85" s="245">
        <v>9</v>
      </c>
      <c r="B85" s="224" t="s">
        <v>22</v>
      </c>
      <c r="C85" s="386">
        <v>0</v>
      </c>
      <c r="D85" s="377">
        <v>0</v>
      </c>
      <c r="E85" s="377">
        <v>14</v>
      </c>
      <c r="F85" s="1384">
        <v>8</v>
      </c>
      <c r="G85" s="379">
        <f t="shared" si="20"/>
        <v>22</v>
      </c>
      <c r="H85" s="386">
        <v>0</v>
      </c>
      <c r="I85" s="377">
        <v>1</v>
      </c>
      <c r="J85" s="377">
        <v>18</v>
      </c>
      <c r="K85" s="1384">
        <v>3</v>
      </c>
      <c r="L85" s="379">
        <f t="shared" si="21"/>
        <v>22</v>
      </c>
      <c r="M85" s="376">
        <f t="shared" si="22"/>
        <v>0</v>
      </c>
      <c r="N85" s="377">
        <f t="shared" si="23"/>
        <v>1</v>
      </c>
      <c r="O85" s="377">
        <f t="shared" si="24"/>
        <v>32</v>
      </c>
      <c r="P85" s="377">
        <f t="shared" si="25"/>
        <v>11</v>
      </c>
      <c r="Q85" s="379">
        <f t="shared" si="26"/>
        <v>44</v>
      </c>
      <c r="R85" s="645">
        <v>1</v>
      </c>
      <c r="S85" s="370"/>
      <c r="T85" s="370"/>
    </row>
    <row r="86" spans="1:22" ht="14.15" x14ac:dyDescent="0.35">
      <c r="A86" s="245">
        <v>10</v>
      </c>
      <c r="B86" s="224" t="s">
        <v>23</v>
      </c>
      <c r="C86" s="386">
        <v>0</v>
      </c>
      <c r="D86" s="377">
        <v>5</v>
      </c>
      <c r="E86" s="377">
        <v>24</v>
      </c>
      <c r="F86" s="1384">
        <v>9</v>
      </c>
      <c r="G86" s="379">
        <f t="shared" si="20"/>
        <v>38</v>
      </c>
      <c r="H86" s="386">
        <v>0</v>
      </c>
      <c r="I86" s="377">
        <v>5</v>
      </c>
      <c r="J86" s="377">
        <v>11</v>
      </c>
      <c r="K86" s="1384">
        <v>6</v>
      </c>
      <c r="L86" s="379">
        <f t="shared" si="21"/>
        <v>22</v>
      </c>
      <c r="M86" s="376">
        <f t="shared" si="22"/>
        <v>0</v>
      </c>
      <c r="N86" s="377">
        <f t="shared" si="23"/>
        <v>10</v>
      </c>
      <c r="O86" s="377">
        <f t="shared" si="24"/>
        <v>35</v>
      </c>
      <c r="P86" s="377">
        <f t="shared" si="25"/>
        <v>15</v>
      </c>
      <c r="Q86" s="379">
        <f t="shared" si="26"/>
        <v>60</v>
      </c>
      <c r="R86" s="645">
        <v>0</v>
      </c>
      <c r="S86" s="370"/>
      <c r="T86" s="370"/>
    </row>
    <row r="87" spans="1:22" ht="14.15" x14ac:dyDescent="0.35">
      <c r="A87" s="247">
        <v>11</v>
      </c>
      <c r="B87" s="226" t="s">
        <v>24</v>
      </c>
      <c r="C87" s="386">
        <v>0</v>
      </c>
      <c r="D87" s="377">
        <v>6</v>
      </c>
      <c r="E87" s="377">
        <v>19</v>
      </c>
      <c r="F87" s="1384">
        <v>16</v>
      </c>
      <c r="G87" s="379">
        <f t="shared" si="20"/>
        <v>41</v>
      </c>
      <c r="H87" s="386">
        <v>0</v>
      </c>
      <c r="I87" s="377">
        <v>1</v>
      </c>
      <c r="J87" s="377">
        <v>17</v>
      </c>
      <c r="K87" s="1384">
        <v>9</v>
      </c>
      <c r="L87" s="379">
        <f t="shared" si="21"/>
        <v>27</v>
      </c>
      <c r="M87" s="376">
        <f t="shared" si="22"/>
        <v>0</v>
      </c>
      <c r="N87" s="377">
        <f t="shared" si="23"/>
        <v>7</v>
      </c>
      <c r="O87" s="377">
        <f t="shared" si="24"/>
        <v>36</v>
      </c>
      <c r="P87" s="377">
        <f t="shared" si="25"/>
        <v>25</v>
      </c>
      <c r="Q87" s="379">
        <f t="shared" si="26"/>
        <v>68</v>
      </c>
      <c r="R87" s="645">
        <v>0</v>
      </c>
      <c r="S87" s="370"/>
      <c r="T87" s="370"/>
    </row>
    <row r="88" spans="1:22" ht="14.15" x14ac:dyDescent="0.35">
      <c r="A88" s="245">
        <v>12</v>
      </c>
      <c r="B88" s="224" t="s">
        <v>25</v>
      </c>
      <c r="C88" s="386">
        <v>0</v>
      </c>
      <c r="D88" s="377">
        <v>1</v>
      </c>
      <c r="E88" s="377">
        <v>34</v>
      </c>
      <c r="F88" s="1384">
        <v>18</v>
      </c>
      <c r="G88" s="379">
        <f t="shared" si="20"/>
        <v>53</v>
      </c>
      <c r="H88" s="386">
        <v>0</v>
      </c>
      <c r="I88" s="377">
        <v>0</v>
      </c>
      <c r="J88" s="377">
        <v>20</v>
      </c>
      <c r="K88" s="1384">
        <v>7</v>
      </c>
      <c r="L88" s="379">
        <f t="shared" si="21"/>
        <v>27</v>
      </c>
      <c r="M88" s="376">
        <f t="shared" si="22"/>
        <v>0</v>
      </c>
      <c r="N88" s="377">
        <f t="shared" si="23"/>
        <v>1</v>
      </c>
      <c r="O88" s="377">
        <f t="shared" si="24"/>
        <v>54</v>
      </c>
      <c r="P88" s="377">
        <f t="shared" si="25"/>
        <v>25</v>
      </c>
      <c r="Q88" s="379">
        <f t="shared" si="26"/>
        <v>80</v>
      </c>
      <c r="R88" s="645">
        <v>0</v>
      </c>
      <c r="S88" s="370"/>
      <c r="T88" s="370"/>
    </row>
    <row r="89" spans="1:22" ht="14.15" x14ac:dyDescent="0.35">
      <c r="A89" s="245">
        <v>13</v>
      </c>
      <c r="B89" s="224" t="s">
        <v>26</v>
      </c>
      <c r="C89" s="386">
        <v>8</v>
      </c>
      <c r="D89" s="377">
        <v>1</v>
      </c>
      <c r="E89" s="377">
        <v>10</v>
      </c>
      <c r="F89" s="1384">
        <v>11</v>
      </c>
      <c r="G89" s="379">
        <f t="shared" si="20"/>
        <v>30</v>
      </c>
      <c r="H89" s="386">
        <v>6</v>
      </c>
      <c r="I89" s="377">
        <v>3</v>
      </c>
      <c r="J89" s="377">
        <v>9</v>
      </c>
      <c r="K89" s="1384">
        <v>6</v>
      </c>
      <c r="L89" s="379">
        <f t="shared" si="21"/>
        <v>24</v>
      </c>
      <c r="M89" s="376">
        <f t="shared" si="22"/>
        <v>14</v>
      </c>
      <c r="N89" s="377">
        <f t="shared" si="23"/>
        <v>4</v>
      </c>
      <c r="O89" s="377">
        <f t="shared" si="24"/>
        <v>19</v>
      </c>
      <c r="P89" s="377">
        <f t="shared" si="25"/>
        <v>17</v>
      </c>
      <c r="Q89" s="379">
        <f t="shared" si="26"/>
        <v>54</v>
      </c>
      <c r="R89" s="645">
        <v>0</v>
      </c>
      <c r="S89" s="370"/>
      <c r="T89" s="370"/>
    </row>
    <row r="90" spans="1:22" ht="14.15" x14ac:dyDescent="0.35">
      <c r="A90" s="245">
        <v>14</v>
      </c>
      <c r="B90" s="224" t="s">
        <v>27</v>
      </c>
      <c r="C90" s="386">
        <v>6</v>
      </c>
      <c r="D90" s="377">
        <v>0</v>
      </c>
      <c r="E90" s="377">
        <v>26</v>
      </c>
      <c r="F90" s="1384">
        <v>20</v>
      </c>
      <c r="G90" s="379">
        <f t="shared" si="20"/>
        <v>52</v>
      </c>
      <c r="H90" s="386">
        <v>3</v>
      </c>
      <c r="I90" s="377">
        <v>0</v>
      </c>
      <c r="J90" s="377">
        <v>21</v>
      </c>
      <c r="K90" s="1384">
        <v>9</v>
      </c>
      <c r="L90" s="379">
        <f t="shared" si="21"/>
        <v>33</v>
      </c>
      <c r="M90" s="376">
        <f t="shared" si="22"/>
        <v>9</v>
      </c>
      <c r="N90" s="377">
        <f t="shared" si="23"/>
        <v>0</v>
      </c>
      <c r="O90" s="377">
        <f t="shared" si="24"/>
        <v>47</v>
      </c>
      <c r="P90" s="377">
        <f t="shared" si="25"/>
        <v>29</v>
      </c>
      <c r="Q90" s="379">
        <f t="shared" si="26"/>
        <v>85</v>
      </c>
      <c r="R90" s="645">
        <v>0</v>
      </c>
      <c r="S90" s="370"/>
      <c r="T90" s="370"/>
      <c r="V90" s="368" t="s">
        <v>108</v>
      </c>
    </row>
    <row r="91" spans="1:22" ht="28.75" thickBot="1" x14ac:dyDescent="0.4">
      <c r="A91" s="248">
        <v>15</v>
      </c>
      <c r="B91" s="227" t="s">
        <v>28</v>
      </c>
      <c r="C91" s="389">
        <v>0</v>
      </c>
      <c r="D91" s="390">
        <v>0</v>
      </c>
      <c r="E91" s="390">
        <v>29</v>
      </c>
      <c r="F91" s="1385">
        <v>20</v>
      </c>
      <c r="G91" s="381">
        <f t="shared" si="20"/>
        <v>49</v>
      </c>
      <c r="H91" s="389">
        <v>0</v>
      </c>
      <c r="I91" s="390">
        <v>0</v>
      </c>
      <c r="J91" s="390">
        <v>15</v>
      </c>
      <c r="K91" s="1385">
        <v>3</v>
      </c>
      <c r="L91" s="381">
        <f t="shared" si="21"/>
        <v>18</v>
      </c>
      <c r="M91" s="340">
        <f t="shared" si="22"/>
        <v>0</v>
      </c>
      <c r="N91" s="390">
        <f t="shared" si="23"/>
        <v>0</v>
      </c>
      <c r="O91" s="390">
        <f t="shared" si="24"/>
        <v>44</v>
      </c>
      <c r="P91" s="390">
        <f t="shared" si="25"/>
        <v>23</v>
      </c>
      <c r="Q91" s="391">
        <f t="shared" si="26"/>
        <v>67</v>
      </c>
      <c r="R91" s="646">
        <v>0</v>
      </c>
      <c r="S91" s="370"/>
      <c r="T91" s="370"/>
      <c r="U91" s="368" t="s">
        <v>108</v>
      </c>
    </row>
    <row r="92" spans="1:22" s="418" customFormat="1" ht="14.15" x14ac:dyDescent="0.35">
      <c r="A92" s="320"/>
      <c r="B92" s="321" t="s">
        <v>483</v>
      </c>
      <c r="C92" s="322">
        <f t="shared" ref="C92:R92" si="27">SUM(C77:C91)</f>
        <v>16</v>
      </c>
      <c r="D92" s="323">
        <f t="shared" si="27"/>
        <v>34</v>
      </c>
      <c r="E92" s="323">
        <f t="shared" si="27"/>
        <v>264</v>
      </c>
      <c r="F92" s="323">
        <f t="shared" si="27"/>
        <v>255</v>
      </c>
      <c r="G92" s="324">
        <f t="shared" si="27"/>
        <v>569</v>
      </c>
      <c r="H92" s="322">
        <f t="shared" si="27"/>
        <v>10</v>
      </c>
      <c r="I92" s="323">
        <f t="shared" si="27"/>
        <v>31</v>
      </c>
      <c r="J92" s="323">
        <f t="shared" si="27"/>
        <v>198</v>
      </c>
      <c r="K92" s="323">
        <f t="shared" si="27"/>
        <v>134</v>
      </c>
      <c r="L92" s="324">
        <f t="shared" si="27"/>
        <v>373</v>
      </c>
      <c r="M92" s="322">
        <f t="shared" si="27"/>
        <v>26</v>
      </c>
      <c r="N92" s="323">
        <f t="shared" si="27"/>
        <v>65</v>
      </c>
      <c r="O92" s="323">
        <f t="shared" si="27"/>
        <v>462</v>
      </c>
      <c r="P92" s="323">
        <f t="shared" si="27"/>
        <v>389</v>
      </c>
      <c r="Q92" s="324">
        <f t="shared" si="27"/>
        <v>942</v>
      </c>
      <c r="R92" s="325">
        <f t="shared" si="27"/>
        <v>1</v>
      </c>
      <c r="S92" s="326"/>
      <c r="T92" s="326"/>
    </row>
    <row r="93" spans="1:22" s="418" customFormat="1" ht="14.15" x14ac:dyDescent="0.35">
      <c r="A93" s="1374"/>
      <c r="B93" s="226" t="s">
        <v>454</v>
      </c>
      <c r="C93" s="1375">
        <v>10</v>
      </c>
      <c r="D93" s="1376">
        <v>36</v>
      </c>
      <c r="E93" s="1376">
        <v>262</v>
      </c>
      <c r="F93" s="1376">
        <v>287</v>
      </c>
      <c r="G93" s="1377">
        <v>595</v>
      </c>
      <c r="H93" s="1375">
        <v>5</v>
      </c>
      <c r="I93" s="1376">
        <v>34</v>
      </c>
      <c r="J93" s="1376">
        <v>194</v>
      </c>
      <c r="K93" s="1376">
        <v>169</v>
      </c>
      <c r="L93" s="1378">
        <v>402</v>
      </c>
      <c r="M93" s="1375">
        <v>15</v>
      </c>
      <c r="N93" s="1376">
        <v>70</v>
      </c>
      <c r="O93" s="1376">
        <v>456</v>
      </c>
      <c r="P93" s="1376">
        <v>456</v>
      </c>
      <c r="Q93" s="379">
        <v>997</v>
      </c>
      <c r="R93" s="526">
        <v>0</v>
      </c>
      <c r="S93" s="326"/>
      <c r="T93" s="326"/>
    </row>
    <row r="94" spans="1:22" ht="14.15" x14ac:dyDescent="0.35">
      <c r="A94" s="223"/>
      <c r="B94" s="224" t="s">
        <v>414</v>
      </c>
      <c r="C94" s="376">
        <v>12</v>
      </c>
      <c r="D94" s="377">
        <v>59</v>
      </c>
      <c r="E94" s="377">
        <v>288</v>
      </c>
      <c r="F94" s="377">
        <v>257</v>
      </c>
      <c r="G94" s="379">
        <v>616</v>
      </c>
      <c r="H94" s="376">
        <v>3</v>
      </c>
      <c r="I94" s="377">
        <v>29</v>
      </c>
      <c r="J94" s="377">
        <v>218</v>
      </c>
      <c r="K94" s="377">
        <v>158</v>
      </c>
      <c r="L94" s="378">
        <v>408</v>
      </c>
      <c r="M94" s="376">
        <v>15</v>
      </c>
      <c r="N94" s="377">
        <v>88</v>
      </c>
      <c r="O94" s="377">
        <v>506</v>
      </c>
      <c r="P94" s="377">
        <v>415</v>
      </c>
      <c r="Q94" s="379">
        <v>1024</v>
      </c>
      <c r="R94" s="526">
        <v>1</v>
      </c>
      <c r="S94" s="370"/>
      <c r="T94" s="370"/>
    </row>
    <row r="95" spans="1:22" ht="14.15" x14ac:dyDescent="0.35">
      <c r="A95" s="223"/>
      <c r="B95" s="224" t="s">
        <v>366</v>
      </c>
      <c r="C95" s="376">
        <v>6</v>
      </c>
      <c r="D95" s="377">
        <v>44</v>
      </c>
      <c r="E95" s="377">
        <v>254</v>
      </c>
      <c r="F95" s="377">
        <v>276</v>
      </c>
      <c r="G95" s="379">
        <v>580</v>
      </c>
      <c r="H95" s="376">
        <v>2</v>
      </c>
      <c r="I95" s="377">
        <v>33</v>
      </c>
      <c r="J95" s="377">
        <v>201</v>
      </c>
      <c r="K95" s="377">
        <v>187</v>
      </c>
      <c r="L95" s="378">
        <v>423</v>
      </c>
      <c r="M95" s="376">
        <v>8</v>
      </c>
      <c r="N95" s="377">
        <v>77</v>
      </c>
      <c r="O95" s="377">
        <v>455</v>
      </c>
      <c r="P95" s="377">
        <v>463</v>
      </c>
      <c r="Q95" s="379">
        <v>1003</v>
      </c>
      <c r="R95" s="526">
        <v>0</v>
      </c>
      <c r="S95" s="370"/>
      <c r="T95" s="370"/>
    </row>
    <row r="96" spans="1:22" ht="14.15" x14ac:dyDescent="0.35">
      <c r="A96" s="223"/>
      <c r="B96" s="224" t="s">
        <v>333</v>
      </c>
      <c r="C96" s="376">
        <v>5</v>
      </c>
      <c r="D96" s="377">
        <v>48</v>
      </c>
      <c r="E96" s="377">
        <v>236</v>
      </c>
      <c r="F96" s="377">
        <v>288</v>
      </c>
      <c r="G96" s="379">
        <v>577</v>
      </c>
      <c r="H96" s="376">
        <v>2</v>
      </c>
      <c r="I96" s="377">
        <v>40</v>
      </c>
      <c r="J96" s="377">
        <v>191</v>
      </c>
      <c r="K96" s="377">
        <v>167</v>
      </c>
      <c r="L96" s="378">
        <v>400</v>
      </c>
      <c r="M96" s="376">
        <v>7</v>
      </c>
      <c r="N96" s="377">
        <v>88</v>
      </c>
      <c r="O96" s="377">
        <v>427</v>
      </c>
      <c r="P96" s="377">
        <v>455</v>
      </c>
      <c r="Q96" s="379">
        <v>977</v>
      </c>
      <c r="R96" s="526">
        <v>0</v>
      </c>
      <c r="S96" s="370"/>
      <c r="T96" s="370"/>
    </row>
    <row r="97" spans="1:34" ht="14.15" x14ac:dyDescent="0.35">
      <c r="A97" s="223"/>
      <c r="B97" s="224" t="s">
        <v>298</v>
      </c>
      <c r="C97" s="376">
        <v>6</v>
      </c>
      <c r="D97" s="377">
        <v>57</v>
      </c>
      <c r="E97" s="377">
        <v>227</v>
      </c>
      <c r="F97" s="377">
        <v>268</v>
      </c>
      <c r="G97" s="379">
        <v>558</v>
      </c>
      <c r="H97" s="376">
        <v>2</v>
      </c>
      <c r="I97" s="377">
        <v>46</v>
      </c>
      <c r="J97" s="377">
        <v>197</v>
      </c>
      <c r="K97" s="377">
        <v>149</v>
      </c>
      <c r="L97" s="378">
        <v>394</v>
      </c>
      <c r="M97" s="376">
        <v>8</v>
      </c>
      <c r="N97" s="377">
        <v>103</v>
      </c>
      <c r="O97" s="377">
        <v>424</v>
      </c>
      <c r="P97" s="377">
        <v>417</v>
      </c>
      <c r="Q97" s="379">
        <v>952</v>
      </c>
      <c r="R97" s="526">
        <v>1</v>
      </c>
      <c r="S97" s="370"/>
      <c r="T97" s="370"/>
    </row>
    <row r="98" spans="1:34" ht="14.6" thickBot="1" x14ac:dyDescent="0.4">
      <c r="A98" s="338"/>
      <c r="B98" s="339" t="s">
        <v>132</v>
      </c>
      <c r="C98" s="340">
        <v>5</v>
      </c>
      <c r="D98" s="390">
        <v>61</v>
      </c>
      <c r="E98" s="390">
        <v>236</v>
      </c>
      <c r="F98" s="390">
        <v>262</v>
      </c>
      <c r="G98" s="391">
        <v>564</v>
      </c>
      <c r="H98" s="340">
        <v>2</v>
      </c>
      <c r="I98" s="390">
        <v>52</v>
      </c>
      <c r="J98" s="390">
        <v>190</v>
      </c>
      <c r="K98" s="390">
        <v>140</v>
      </c>
      <c r="L98" s="797">
        <v>384</v>
      </c>
      <c r="M98" s="340">
        <v>7</v>
      </c>
      <c r="N98" s="390">
        <v>113</v>
      </c>
      <c r="O98" s="390">
        <v>426</v>
      </c>
      <c r="P98" s="390">
        <v>402</v>
      </c>
      <c r="Q98" s="391">
        <v>948</v>
      </c>
      <c r="R98" s="527">
        <v>0</v>
      </c>
      <c r="S98" s="370"/>
      <c r="T98" s="370"/>
    </row>
    <row r="99" spans="1:34" ht="15.75" customHeight="1" x14ac:dyDescent="0.35">
      <c r="A99" s="216" t="s">
        <v>70</v>
      </c>
      <c r="U99" s="368" t="s">
        <v>108</v>
      </c>
    </row>
    <row r="101" spans="1:34" s="217" customFormat="1" ht="36.75" customHeight="1" thickBot="1" x14ac:dyDescent="0.35">
      <c r="A101" s="185" t="s">
        <v>592</v>
      </c>
    </row>
    <row r="102" spans="1:34" s="219" customFormat="1" ht="20.25" customHeight="1" thickBot="1" x14ac:dyDescent="0.4">
      <c r="A102" s="218"/>
      <c r="B102" s="337"/>
      <c r="C102" s="1699" t="s">
        <v>63</v>
      </c>
      <c r="D102" s="1700"/>
      <c r="E102" s="1700"/>
      <c r="F102" s="1700"/>
      <c r="G102" s="1701"/>
      <c r="H102" s="1699" t="s">
        <v>64</v>
      </c>
      <c r="I102" s="1700"/>
      <c r="J102" s="1700"/>
      <c r="K102" s="1700"/>
      <c r="L102" s="1701"/>
      <c r="M102" s="1702" t="s">
        <v>65</v>
      </c>
      <c r="N102" s="1703"/>
      <c r="O102" s="1703"/>
      <c r="P102" s="1703"/>
      <c r="Q102" s="1703"/>
      <c r="R102" s="1704"/>
    </row>
    <row r="103" spans="1:34" s="219" customFormat="1" ht="83.25" customHeight="1" thickBot="1" x14ac:dyDescent="0.4">
      <c r="A103" s="556" t="s">
        <v>2</v>
      </c>
      <c r="B103" s="798" t="s">
        <v>3</v>
      </c>
      <c r="C103" s="269" t="s">
        <v>66</v>
      </c>
      <c r="D103" s="266" t="s">
        <v>296</v>
      </c>
      <c r="E103" s="266" t="s">
        <v>297</v>
      </c>
      <c r="F103" s="266" t="s">
        <v>67</v>
      </c>
      <c r="G103" s="296" t="s">
        <v>68</v>
      </c>
      <c r="H103" s="286" t="s">
        <v>66</v>
      </c>
      <c r="I103" s="266" t="s">
        <v>296</v>
      </c>
      <c r="J103" s="266" t="s">
        <v>297</v>
      </c>
      <c r="K103" s="266" t="s">
        <v>67</v>
      </c>
      <c r="L103" s="397" t="s">
        <v>13</v>
      </c>
      <c r="M103" s="395" t="s">
        <v>66</v>
      </c>
      <c r="N103" s="398" t="s">
        <v>296</v>
      </c>
      <c r="O103" s="398" t="s">
        <v>297</v>
      </c>
      <c r="P103" s="398" t="s">
        <v>67</v>
      </c>
      <c r="Q103" s="396" t="s">
        <v>13</v>
      </c>
      <c r="R103" s="528" t="s">
        <v>69</v>
      </c>
      <c r="T103" s="219" t="s">
        <v>108</v>
      </c>
    </row>
    <row r="104" spans="1:34" ht="15.75" customHeight="1" x14ac:dyDescent="0.35">
      <c r="A104" s="799">
        <v>1</v>
      </c>
      <c r="B104" s="800" t="s">
        <v>14</v>
      </c>
      <c r="C104" s="801">
        <v>4</v>
      </c>
      <c r="D104" s="802">
        <v>21</v>
      </c>
      <c r="E104" s="802">
        <v>5</v>
      </c>
      <c r="F104" s="1383">
        <v>14</v>
      </c>
      <c r="G104" s="803">
        <f t="shared" ref="G104:G118" si="28">SUM(C104:F104)</f>
        <v>44</v>
      </c>
      <c r="H104" s="801">
        <v>1</v>
      </c>
      <c r="I104" s="802">
        <v>13</v>
      </c>
      <c r="J104" s="802">
        <v>4</v>
      </c>
      <c r="K104" s="1383">
        <v>10</v>
      </c>
      <c r="L104" s="803">
        <f t="shared" ref="L104:L118" si="29">SUM(H104:K104)</f>
        <v>28</v>
      </c>
      <c r="M104" s="801">
        <f t="shared" ref="M104:M118" si="30">C104+H104</f>
        <v>5</v>
      </c>
      <c r="N104" s="802">
        <f t="shared" ref="N104:N118" si="31">D104+I104</f>
        <v>34</v>
      </c>
      <c r="O104" s="802">
        <f t="shared" ref="O104:O118" si="32">E104+J104</f>
        <v>9</v>
      </c>
      <c r="P104" s="802">
        <f t="shared" ref="P104:P118" si="33">F104+K104</f>
        <v>24</v>
      </c>
      <c r="Q104" s="803">
        <f t="shared" ref="Q104:Q118" si="34">SUM(M104:P104)</f>
        <v>72</v>
      </c>
      <c r="R104" s="644">
        <v>5</v>
      </c>
      <c r="S104" s="370"/>
      <c r="T104" s="400"/>
    </row>
    <row r="105" spans="1:34" ht="15.75" customHeight="1" x14ac:dyDescent="0.35">
      <c r="A105" s="223">
        <v>2</v>
      </c>
      <c r="B105" s="224" t="s">
        <v>15</v>
      </c>
      <c r="C105" s="386">
        <v>5</v>
      </c>
      <c r="D105" s="377">
        <v>0</v>
      </c>
      <c r="E105" s="377">
        <v>4</v>
      </c>
      <c r="F105" s="1384">
        <v>13</v>
      </c>
      <c r="G105" s="379">
        <f t="shared" si="28"/>
        <v>22</v>
      </c>
      <c r="H105" s="386">
        <v>4</v>
      </c>
      <c r="I105" s="377">
        <v>0</v>
      </c>
      <c r="J105" s="377">
        <v>5</v>
      </c>
      <c r="K105" s="1384">
        <v>16</v>
      </c>
      <c r="L105" s="379">
        <f t="shared" si="29"/>
        <v>25</v>
      </c>
      <c r="M105" s="386">
        <f t="shared" si="30"/>
        <v>9</v>
      </c>
      <c r="N105" s="377">
        <f t="shared" si="31"/>
        <v>0</v>
      </c>
      <c r="O105" s="377">
        <f t="shared" si="32"/>
        <v>9</v>
      </c>
      <c r="P105" s="377">
        <f t="shared" si="33"/>
        <v>29</v>
      </c>
      <c r="Q105" s="379">
        <f t="shared" si="34"/>
        <v>47</v>
      </c>
      <c r="R105" s="645">
        <v>0</v>
      </c>
      <c r="S105" s="370"/>
      <c r="T105" s="400"/>
    </row>
    <row r="106" spans="1:34" ht="15.75" customHeight="1" x14ac:dyDescent="0.35">
      <c r="A106" s="223">
        <v>3</v>
      </c>
      <c r="B106" s="224" t="s">
        <v>16</v>
      </c>
      <c r="C106" s="386">
        <v>11</v>
      </c>
      <c r="D106" s="377">
        <v>1</v>
      </c>
      <c r="E106" s="377">
        <v>5</v>
      </c>
      <c r="F106" s="1384">
        <v>19</v>
      </c>
      <c r="G106" s="379">
        <f t="shared" si="28"/>
        <v>36</v>
      </c>
      <c r="H106" s="386">
        <v>15</v>
      </c>
      <c r="I106" s="377">
        <v>1</v>
      </c>
      <c r="J106" s="377">
        <v>6</v>
      </c>
      <c r="K106" s="1384">
        <v>17</v>
      </c>
      <c r="L106" s="379">
        <f t="shared" si="29"/>
        <v>39</v>
      </c>
      <c r="M106" s="386">
        <f t="shared" si="30"/>
        <v>26</v>
      </c>
      <c r="N106" s="377">
        <f t="shared" si="31"/>
        <v>2</v>
      </c>
      <c r="O106" s="377">
        <f t="shared" si="32"/>
        <v>11</v>
      </c>
      <c r="P106" s="377">
        <f t="shared" si="33"/>
        <v>36</v>
      </c>
      <c r="Q106" s="379">
        <f t="shared" si="34"/>
        <v>75</v>
      </c>
      <c r="R106" s="645">
        <v>1</v>
      </c>
      <c r="S106" s="370"/>
      <c r="T106" s="426"/>
      <c r="U106" s="425"/>
      <c r="V106" s="426"/>
      <c r="W106" s="426"/>
      <c r="X106" s="426"/>
      <c r="Y106" s="426"/>
      <c r="Z106" s="426"/>
      <c r="AA106" s="426"/>
      <c r="AB106" s="426"/>
      <c r="AC106" s="426"/>
      <c r="AD106" s="426"/>
      <c r="AE106" s="426"/>
      <c r="AF106" s="426"/>
      <c r="AG106" s="426"/>
      <c r="AH106" s="426"/>
    </row>
    <row r="107" spans="1:34" ht="29.25" customHeight="1" x14ac:dyDescent="0.35">
      <c r="A107" s="223">
        <v>4</v>
      </c>
      <c r="B107" s="341" t="s">
        <v>17</v>
      </c>
      <c r="C107" s="386">
        <v>4</v>
      </c>
      <c r="D107" s="377">
        <v>1</v>
      </c>
      <c r="E107" s="377">
        <v>0</v>
      </c>
      <c r="F107" s="1384">
        <v>25</v>
      </c>
      <c r="G107" s="379">
        <f t="shared" si="28"/>
        <v>30</v>
      </c>
      <c r="H107" s="386">
        <v>0</v>
      </c>
      <c r="I107" s="377">
        <v>0</v>
      </c>
      <c r="J107" s="377">
        <v>0</v>
      </c>
      <c r="K107" s="1384">
        <v>14</v>
      </c>
      <c r="L107" s="379">
        <f t="shared" si="29"/>
        <v>14</v>
      </c>
      <c r="M107" s="386">
        <f t="shared" si="30"/>
        <v>4</v>
      </c>
      <c r="N107" s="377">
        <f t="shared" si="31"/>
        <v>1</v>
      </c>
      <c r="O107" s="377">
        <f t="shared" si="32"/>
        <v>0</v>
      </c>
      <c r="P107" s="377">
        <f t="shared" si="33"/>
        <v>39</v>
      </c>
      <c r="Q107" s="379">
        <f t="shared" si="34"/>
        <v>44</v>
      </c>
      <c r="R107" s="645">
        <v>0</v>
      </c>
      <c r="S107" s="370"/>
      <c r="T107" s="426"/>
      <c r="U107" s="425"/>
      <c r="V107" s="426"/>
      <c r="W107" s="426"/>
      <c r="X107" s="426"/>
      <c r="Y107" s="426"/>
      <c r="Z107" s="426"/>
      <c r="AA107" s="426"/>
      <c r="AB107" s="426"/>
      <c r="AC107" s="426"/>
      <c r="AD107" s="426"/>
      <c r="AE107" s="426"/>
      <c r="AF107" s="426"/>
      <c r="AG107" s="426"/>
      <c r="AH107" s="426"/>
    </row>
    <row r="108" spans="1:34" ht="15.75" customHeight="1" x14ac:dyDescent="0.35">
      <c r="A108" s="223">
        <v>5</v>
      </c>
      <c r="B108" s="341" t="s">
        <v>18</v>
      </c>
      <c r="C108" s="386">
        <v>0</v>
      </c>
      <c r="D108" s="377">
        <v>15</v>
      </c>
      <c r="E108" s="377">
        <v>4</v>
      </c>
      <c r="F108" s="1384">
        <v>9</v>
      </c>
      <c r="G108" s="379">
        <f t="shared" si="28"/>
        <v>28</v>
      </c>
      <c r="H108" s="386">
        <v>0</v>
      </c>
      <c r="I108" s="377">
        <v>10</v>
      </c>
      <c r="J108" s="377">
        <v>7</v>
      </c>
      <c r="K108" s="1384">
        <v>4</v>
      </c>
      <c r="L108" s="379">
        <f t="shared" si="29"/>
        <v>21</v>
      </c>
      <c r="M108" s="386">
        <f t="shared" si="30"/>
        <v>0</v>
      </c>
      <c r="N108" s="377">
        <f t="shared" si="31"/>
        <v>25</v>
      </c>
      <c r="O108" s="377">
        <f t="shared" si="32"/>
        <v>11</v>
      </c>
      <c r="P108" s="377">
        <f t="shared" si="33"/>
        <v>13</v>
      </c>
      <c r="Q108" s="379">
        <f t="shared" si="34"/>
        <v>49</v>
      </c>
      <c r="R108" s="645">
        <v>0</v>
      </c>
      <c r="S108" s="370"/>
      <c r="T108" s="426"/>
      <c r="U108" s="425"/>
      <c r="V108" s="426"/>
      <c r="W108" s="426"/>
      <c r="X108" s="426"/>
      <c r="Y108" s="426"/>
      <c r="Z108" s="426"/>
      <c r="AA108" s="426"/>
      <c r="AB108" s="426"/>
      <c r="AC108" s="426"/>
      <c r="AD108" s="426"/>
      <c r="AE108" s="426"/>
      <c r="AF108" s="426"/>
      <c r="AG108" s="426"/>
      <c r="AH108" s="426"/>
    </row>
    <row r="109" spans="1:34" ht="15.75" customHeight="1" x14ac:dyDescent="0.35">
      <c r="A109" s="225">
        <v>6</v>
      </c>
      <c r="B109" s="342" t="s">
        <v>19</v>
      </c>
      <c r="C109" s="386">
        <v>0</v>
      </c>
      <c r="D109" s="377">
        <v>0</v>
      </c>
      <c r="E109" s="377">
        <v>1</v>
      </c>
      <c r="F109" s="1384">
        <v>4</v>
      </c>
      <c r="G109" s="379">
        <f t="shared" si="28"/>
        <v>5</v>
      </c>
      <c r="H109" s="386">
        <v>4</v>
      </c>
      <c r="I109" s="377">
        <v>0</v>
      </c>
      <c r="J109" s="377">
        <v>4</v>
      </c>
      <c r="K109" s="1384">
        <v>1</v>
      </c>
      <c r="L109" s="379">
        <f t="shared" si="29"/>
        <v>9</v>
      </c>
      <c r="M109" s="386">
        <f t="shared" si="30"/>
        <v>4</v>
      </c>
      <c r="N109" s="377">
        <f t="shared" si="31"/>
        <v>0</v>
      </c>
      <c r="O109" s="377">
        <f t="shared" si="32"/>
        <v>5</v>
      </c>
      <c r="P109" s="377">
        <f t="shared" si="33"/>
        <v>5</v>
      </c>
      <c r="Q109" s="379">
        <f t="shared" si="34"/>
        <v>14</v>
      </c>
      <c r="R109" s="645">
        <v>0</v>
      </c>
      <c r="S109" s="370"/>
      <c r="T109" s="426"/>
      <c r="U109" s="425"/>
      <c r="V109" s="426"/>
      <c r="W109" s="426"/>
      <c r="X109" s="426"/>
      <c r="Y109" s="426"/>
      <c r="Z109" s="426"/>
      <c r="AA109" s="426"/>
      <c r="AB109" s="426"/>
      <c r="AC109" s="426"/>
      <c r="AD109" s="426"/>
      <c r="AE109" s="426"/>
      <c r="AF109" s="426"/>
      <c r="AG109" s="426"/>
      <c r="AH109" s="426"/>
    </row>
    <row r="110" spans="1:34" ht="15.75" customHeight="1" x14ac:dyDescent="0.35">
      <c r="A110" s="225">
        <v>7</v>
      </c>
      <c r="B110" s="342" t="s">
        <v>20</v>
      </c>
      <c r="C110" s="386">
        <v>2</v>
      </c>
      <c r="D110" s="377">
        <v>0</v>
      </c>
      <c r="E110" s="377">
        <v>18</v>
      </c>
      <c r="F110" s="1384">
        <v>2</v>
      </c>
      <c r="G110" s="379">
        <f t="shared" si="28"/>
        <v>22</v>
      </c>
      <c r="H110" s="386">
        <v>1</v>
      </c>
      <c r="I110" s="377">
        <v>2</v>
      </c>
      <c r="J110" s="377">
        <v>12</v>
      </c>
      <c r="K110" s="1384">
        <v>2</v>
      </c>
      <c r="L110" s="379">
        <f t="shared" si="29"/>
        <v>17</v>
      </c>
      <c r="M110" s="386">
        <f t="shared" si="30"/>
        <v>3</v>
      </c>
      <c r="N110" s="377">
        <f t="shared" si="31"/>
        <v>2</v>
      </c>
      <c r="O110" s="377">
        <f t="shared" si="32"/>
        <v>30</v>
      </c>
      <c r="P110" s="377">
        <f t="shared" si="33"/>
        <v>4</v>
      </c>
      <c r="Q110" s="379">
        <f t="shared" si="34"/>
        <v>39</v>
      </c>
      <c r="R110" s="645">
        <v>0</v>
      </c>
      <c r="S110" s="370"/>
      <c r="T110" s="400"/>
    </row>
    <row r="111" spans="1:34" ht="15.75" customHeight="1" x14ac:dyDescent="0.35">
      <c r="A111" s="223">
        <v>8</v>
      </c>
      <c r="B111" s="341" t="s">
        <v>21</v>
      </c>
      <c r="C111" s="386">
        <v>4</v>
      </c>
      <c r="D111" s="377">
        <v>4</v>
      </c>
      <c r="E111" s="377">
        <v>9</v>
      </c>
      <c r="F111" s="1384">
        <v>10</v>
      </c>
      <c r="G111" s="379">
        <f t="shared" si="28"/>
        <v>27</v>
      </c>
      <c r="H111" s="386">
        <v>2</v>
      </c>
      <c r="I111" s="377">
        <v>1</v>
      </c>
      <c r="J111" s="377">
        <v>4</v>
      </c>
      <c r="K111" s="1384">
        <v>4</v>
      </c>
      <c r="L111" s="379">
        <f t="shared" si="29"/>
        <v>11</v>
      </c>
      <c r="M111" s="386">
        <f t="shared" si="30"/>
        <v>6</v>
      </c>
      <c r="N111" s="377">
        <f t="shared" si="31"/>
        <v>5</v>
      </c>
      <c r="O111" s="377">
        <f t="shared" si="32"/>
        <v>13</v>
      </c>
      <c r="P111" s="377">
        <f t="shared" si="33"/>
        <v>14</v>
      </c>
      <c r="Q111" s="379">
        <f t="shared" si="34"/>
        <v>38</v>
      </c>
      <c r="R111" s="645">
        <v>5</v>
      </c>
      <c r="S111" s="370"/>
      <c r="T111" s="370"/>
    </row>
    <row r="112" spans="1:34" ht="15.75" customHeight="1" x14ac:dyDescent="0.35">
      <c r="A112" s="223">
        <v>9</v>
      </c>
      <c r="B112" s="341" t="s">
        <v>22</v>
      </c>
      <c r="C112" s="386">
        <v>0</v>
      </c>
      <c r="D112" s="377">
        <v>0</v>
      </c>
      <c r="E112" s="377">
        <v>7</v>
      </c>
      <c r="F112" s="1384">
        <v>3</v>
      </c>
      <c r="G112" s="379">
        <f t="shared" si="28"/>
        <v>10</v>
      </c>
      <c r="H112" s="386">
        <v>1</v>
      </c>
      <c r="I112" s="377">
        <v>0</v>
      </c>
      <c r="J112" s="377">
        <v>8</v>
      </c>
      <c r="K112" s="1384">
        <v>1</v>
      </c>
      <c r="L112" s="379">
        <f t="shared" si="29"/>
        <v>10</v>
      </c>
      <c r="M112" s="386">
        <f t="shared" si="30"/>
        <v>1</v>
      </c>
      <c r="N112" s="377">
        <f t="shared" si="31"/>
        <v>0</v>
      </c>
      <c r="O112" s="377">
        <f t="shared" si="32"/>
        <v>15</v>
      </c>
      <c r="P112" s="377">
        <f t="shared" si="33"/>
        <v>4</v>
      </c>
      <c r="Q112" s="379">
        <f t="shared" si="34"/>
        <v>20</v>
      </c>
      <c r="R112" s="645">
        <v>1</v>
      </c>
      <c r="S112" s="370"/>
      <c r="T112" s="426"/>
      <c r="U112" s="425"/>
      <c r="V112" s="426"/>
      <c r="W112" s="426"/>
      <c r="X112" s="426"/>
      <c r="Y112" s="426"/>
      <c r="Z112" s="426"/>
      <c r="AA112" s="426"/>
      <c r="AB112" s="426"/>
      <c r="AC112" s="426"/>
      <c r="AD112" s="426"/>
      <c r="AE112" s="426"/>
      <c r="AF112" s="426"/>
      <c r="AG112" s="426"/>
      <c r="AH112" s="426"/>
    </row>
    <row r="113" spans="1:22" ht="15.75" customHeight="1" x14ac:dyDescent="0.35">
      <c r="A113" s="223">
        <v>10</v>
      </c>
      <c r="B113" s="341" t="s">
        <v>23</v>
      </c>
      <c r="C113" s="386">
        <v>2</v>
      </c>
      <c r="D113" s="377">
        <v>16</v>
      </c>
      <c r="E113" s="377">
        <v>7</v>
      </c>
      <c r="F113" s="1384">
        <v>6</v>
      </c>
      <c r="G113" s="379">
        <f t="shared" si="28"/>
        <v>31</v>
      </c>
      <c r="H113" s="386">
        <v>1</v>
      </c>
      <c r="I113" s="377">
        <v>14</v>
      </c>
      <c r="J113" s="377">
        <v>9</v>
      </c>
      <c r="K113" s="1384">
        <v>6</v>
      </c>
      <c r="L113" s="379">
        <f t="shared" si="29"/>
        <v>30</v>
      </c>
      <c r="M113" s="386">
        <f t="shared" si="30"/>
        <v>3</v>
      </c>
      <c r="N113" s="377">
        <f t="shared" si="31"/>
        <v>30</v>
      </c>
      <c r="O113" s="377">
        <f t="shared" si="32"/>
        <v>16</v>
      </c>
      <c r="P113" s="377">
        <f t="shared" si="33"/>
        <v>12</v>
      </c>
      <c r="Q113" s="379">
        <f t="shared" si="34"/>
        <v>61</v>
      </c>
      <c r="R113" s="645">
        <v>3</v>
      </c>
      <c r="S113" s="370"/>
      <c r="T113" s="370"/>
    </row>
    <row r="114" spans="1:22" ht="15.75" customHeight="1" x14ac:dyDescent="0.35">
      <c r="A114" s="225">
        <v>11</v>
      </c>
      <c r="B114" s="342" t="s">
        <v>24</v>
      </c>
      <c r="C114" s="386">
        <v>7</v>
      </c>
      <c r="D114" s="377">
        <v>5</v>
      </c>
      <c r="E114" s="377">
        <v>7</v>
      </c>
      <c r="F114" s="1384">
        <v>9</v>
      </c>
      <c r="G114" s="379">
        <f t="shared" si="28"/>
        <v>28</v>
      </c>
      <c r="H114" s="386">
        <v>2</v>
      </c>
      <c r="I114" s="377">
        <v>4</v>
      </c>
      <c r="J114" s="377">
        <v>3</v>
      </c>
      <c r="K114" s="1384">
        <v>7</v>
      </c>
      <c r="L114" s="379">
        <f t="shared" si="29"/>
        <v>16</v>
      </c>
      <c r="M114" s="386">
        <f t="shared" si="30"/>
        <v>9</v>
      </c>
      <c r="N114" s="377">
        <f t="shared" si="31"/>
        <v>9</v>
      </c>
      <c r="O114" s="377">
        <f t="shared" si="32"/>
        <v>10</v>
      </c>
      <c r="P114" s="377">
        <f t="shared" si="33"/>
        <v>16</v>
      </c>
      <c r="Q114" s="379">
        <f t="shared" si="34"/>
        <v>44</v>
      </c>
      <c r="R114" s="645">
        <v>0</v>
      </c>
      <c r="S114" s="370"/>
      <c r="T114" s="370"/>
      <c r="V114" s="368" t="s">
        <v>108</v>
      </c>
    </row>
    <row r="115" spans="1:22" ht="15.75" customHeight="1" x14ac:dyDescent="0.35">
      <c r="A115" s="223">
        <v>12</v>
      </c>
      <c r="B115" s="341" t="s">
        <v>25</v>
      </c>
      <c r="C115" s="386">
        <v>0</v>
      </c>
      <c r="D115" s="377">
        <v>2</v>
      </c>
      <c r="E115" s="377">
        <v>15</v>
      </c>
      <c r="F115" s="1384">
        <v>10</v>
      </c>
      <c r="G115" s="379">
        <f t="shared" si="28"/>
        <v>27</v>
      </c>
      <c r="H115" s="386">
        <v>0</v>
      </c>
      <c r="I115" s="377">
        <v>3</v>
      </c>
      <c r="J115" s="377">
        <v>8</v>
      </c>
      <c r="K115" s="1384">
        <v>8</v>
      </c>
      <c r="L115" s="379">
        <f t="shared" si="29"/>
        <v>19</v>
      </c>
      <c r="M115" s="386">
        <f t="shared" si="30"/>
        <v>0</v>
      </c>
      <c r="N115" s="377">
        <f t="shared" si="31"/>
        <v>5</v>
      </c>
      <c r="O115" s="377">
        <f t="shared" si="32"/>
        <v>23</v>
      </c>
      <c r="P115" s="377">
        <f t="shared" si="33"/>
        <v>18</v>
      </c>
      <c r="Q115" s="379">
        <f t="shared" si="34"/>
        <v>46</v>
      </c>
      <c r="R115" s="645">
        <v>0</v>
      </c>
      <c r="S115" s="370"/>
      <c r="T115" s="370"/>
    </row>
    <row r="116" spans="1:22" ht="15.75" customHeight="1" x14ac:dyDescent="0.35">
      <c r="A116" s="223">
        <v>13</v>
      </c>
      <c r="B116" s="341" t="s">
        <v>26</v>
      </c>
      <c r="C116" s="386">
        <v>21</v>
      </c>
      <c r="D116" s="377">
        <v>3</v>
      </c>
      <c r="E116" s="377">
        <v>11</v>
      </c>
      <c r="F116" s="1384">
        <v>8</v>
      </c>
      <c r="G116" s="379">
        <f t="shared" si="28"/>
        <v>43</v>
      </c>
      <c r="H116" s="386">
        <v>8</v>
      </c>
      <c r="I116" s="377">
        <v>5</v>
      </c>
      <c r="J116" s="377">
        <v>5</v>
      </c>
      <c r="K116" s="1384">
        <v>9</v>
      </c>
      <c r="L116" s="379">
        <f t="shared" si="29"/>
        <v>27</v>
      </c>
      <c r="M116" s="386">
        <f t="shared" si="30"/>
        <v>29</v>
      </c>
      <c r="N116" s="377">
        <f t="shared" si="31"/>
        <v>8</v>
      </c>
      <c r="O116" s="377">
        <f t="shared" si="32"/>
        <v>16</v>
      </c>
      <c r="P116" s="377">
        <f t="shared" si="33"/>
        <v>17</v>
      </c>
      <c r="Q116" s="379">
        <f t="shared" si="34"/>
        <v>70</v>
      </c>
      <c r="R116" s="645">
        <v>1</v>
      </c>
      <c r="S116" s="370"/>
      <c r="T116" s="370"/>
    </row>
    <row r="117" spans="1:22" ht="15.75" customHeight="1" x14ac:dyDescent="0.35">
      <c r="A117" s="223">
        <v>14</v>
      </c>
      <c r="B117" s="341" t="s">
        <v>27</v>
      </c>
      <c r="C117" s="386">
        <v>3</v>
      </c>
      <c r="D117" s="377">
        <v>0</v>
      </c>
      <c r="E117" s="377">
        <v>15</v>
      </c>
      <c r="F117" s="1384">
        <v>14</v>
      </c>
      <c r="G117" s="379">
        <f t="shared" si="28"/>
        <v>32</v>
      </c>
      <c r="H117" s="386">
        <v>3</v>
      </c>
      <c r="I117" s="377">
        <v>0</v>
      </c>
      <c r="J117" s="377">
        <v>9</v>
      </c>
      <c r="K117" s="1384">
        <v>11</v>
      </c>
      <c r="L117" s="379">
        <f t="shared" si="29"/>
        <v>23</v>
      </c>
      <c r="M117" s="386">
        <f t="shared" si="30"/>
        <v>6</v>
      </c>
      <c r="N117" s="377">
        <f t="shared" si="31"/>
        <v>0</v>
      </c>
      <c r="O117" s="377">
        <f t="shared" si="32"/>
        <v>24</v>
      </c>
      <c r="P117" s="377">
        <f t="shared" si="33"/>
        <v>25</v>
      </c>
      <c r="Q117" s="379">
        <f t="shared" si="34"/>
        <v>55</v>
      </c>
      <c r="R117" s="645">
        <v>1</v>
      </c>
      <c r="S117" s="370"/>
      <c r="T117" s="370"/>
    </row>
    <row r="118" spans="1:22" ht="34.5" customHeight="1" thickBot="1" x14ac:dyDescent="0.4">
      <c r="A118" s="338">
        <v>15</v>
      </c>
      <c r="B118" s="804" t="s">
        <v>28</v>
      </c>
      <c r="C118" s="389">
        <v>0</v>
      </c>
      <c r="D118" s="390">
        <v>0</v>
      </c>
      <c r="E118" s="390">
        <v>9</v>
      </c>
      <c r="F118" s="1385">
        <v>8</v>
      </c>
      <c r="G118" s="391">
        <f t="shared" si="28"/>
        <v>17</v>
      </c>
      <c r="H118" s="389">
        <v>0</v>
      </c>
      <c r="I118" s="390">
        <v>0</v>
      </c>
      <c r="J118" s="390">
        <v>5</v>
      </c>
      <c r="K118" s="1385">
        <v>2</v>
      </c>
      <c r="L118" s="391">
        <f t="shared" si="29"/>
        <v>7</v>
      </c>
      <c r="M118" s="389">
        <f t="shared" si="30"/>
        <v>0</v>
      </c>
      <c r="N118" s="390">
        <f t="shared" si="31"/>
        <v>0</v>
      </c>
      <c r="O118" s="390">
        <f t="shared" si="32"/>
        <v>14</v>
      </c>
      <c r="P118" s="390">
        <f t="shared" si="33"/>
        <v>10</v>
      </c>
      <c r="Q118" s="391">
        <f t="shared" si="34"/>
        <v>24</v>
      </c>
      <c r="R118" s="646">
        <v>0</v>
      </c>
      <c r="S118" s="370"/>
      <c r="T118" s="370"/>
    </row>
    <row r="119" spans="1:22" s="418" customFormat="1" ht="22.5" customHeight="1" x14ac:dyDescent="0.35">
      <c r="A119" s="320"/>
      <c r="B119" s="321" t="s">
        <v>543</v>
      </c>
      <c r="C119" s="322">
        <f t="shared" ref="C119:R119" si="35">SUM(C104:C118)</f>
        <v>63</v>
      </c>
      <c r="D119" s="323">
        <f t="shared" si="35"/>
        <v>68</v>
      </c>
      <c r="E119" s="323">
        <f t="shared" si="35"/>
        <v>117</v>
      </c>
      <c r="F119" s="323">
        <f t="shared" si="35"/>
        <v>154</v>
      </c>
      <c r="G119" s="324">
        <f t="shared" si="35"/>
        <v>402</v>
      </c>
      <c r="H119" s="322">
        <f t="shared" si="35"/>
        <v>42</v>
      </c>
      <c r="I119" s="323">
        <f t="shared" si="35"/>
        <v>53</v>
      </c>
      <c r="J119" s="323">
        <f t="shared" si="35"/>
        <v>89</v>
      </c>
      <c r="K119" s="323">
        <f t="shared" si="35"/>
        <v>112</v>
      </c>
      <c r="L119" s="324">
        <f t="shared" si="35"/>
        <v>296</v>
      </c>
      <c r="M119" s="322">
        <f t="shared" si="35"/>
        <v>105</v>
      </c>
      <c r="N119" s="323">
        <f t="shared" si="35"/>
        <v>121</v>
      </c>
      <c r="O119" s="323">
        <f t="shared" si="35"/>
        <v>206</v>
      </c>
      <c r="P119" s="323">
        <f t="shared" si="35"/>
        <v>266</v>
      </c>
      <c r="Q119" s="324">
        <f t="shared" si="35"/>
        <v>698</v>
      </c>
      <c r="R119" s="325">
        <f t="shared" si="35"/>
        <v>17</v>
      </c>
      <c r="S119" s="326"/>
      <c r="T119" s="326"/>
    </row>
    <row r="120" spans="1:22" s="418" customFormat="1" ht="22.5" customHeight="1" x14ac:dyDescent="0.35">
      <c r="A120" s="1374"/>
      <c r="B120" s="226" t="s">
        <v>454</v>
      </c>
      <c r="C120" s="1375">
        <v>56</v>
      </c>
      <c r="D120" s="1376">
        <v>70</v>
      </c>
      <c r="E120" s="1376">
        <v>122</v>
      </c>
      <c r="F120" s="1376">
        <v>153</v>
      </c>
      <c r="G120" s="1377">
        <v>401</v>
      </c>
      <c r="H120" s="1375">
        <v>39</v>
      </c>
      <c r="I120" s="1376">
        <v>57</v>
      </c>
      <c r="J120" s="1376">
        <v>89</v>
      </c>
      <c r="K120" s="1376">
        <v>123</v>
      </c>
      <c r="L120" s="1378">
        <v>308</v>
      </c>
      <c r="M120" s="1375">
        <v>95</v>
      </c>
      <c r="N120" s="1376">
        <v>127</v>
      </c>
      <c r="O120" s="1376">
        <v>211</v>
      </c>
      <c r="P120" s="1376">
        <v>276</v>
      </c>
      <c r="Q120" s="379">
        <v>709</v>
      </c>
      <c r="R120" s="526">
        <v>27</v>
      </c>
      <c r="S120" s="326"/>
      <c r="T120" s="326"/>
    </row>
    <row r="121" spans="1:22" ht="15.75" customHeight="1" x14ac:dyDescent="0.35">
      <c r="A121" s="223"/>
      <c r="B121" s="224" t="s">
        <v>414</v>
      </c>
      <c r="C121" s="376">
        <v>45</v>
      </c>
      <c r="D121" s="377">
        <v>67</v>
      </c>
      <c r="E121" s="377">
        <v>119</v>
      </c>
      <c r="F121" s="377">
        <v>138</v>
      </c>
      <c r="G121" s="379">
        <v>369</v>
      </c>
      <c r="H121" s="376">
        <v>44</v>
      </c>
      <c r="I121" s="377">
        <v>51</v>
      </c>
      <c r="J121" s="377">
        <v>95</v>
      </c>
      <c r="K121" s="377">
        <v>106</v>
      </c>
      <c r="L121" s="378">
        <v>296</v>
      </c>
      <c r="M121" s="376">
        <v>89</v>
      </c>
      <c r="N121" s="377">
        <v>118</v>
      </c>
      <c r="O121" s="377">
        <v>214</v>
      </c>
      <c r="P121" s="377">
        <v>244</v>
      </c>
      <c r="Q121" s="379">
        <v>665</v>
      </c>
      <c r="R121" s="526">
        <v>17</v>
      </c>
      <c r="S121" s="370"/>
      <c r="T121" s="370"/>
    </row>
    <row r="122" spans="1:22" ht="15.75" customHeight="1" x14ac:dyDescent="0.35">
      <c r="A122" s="223"/>
      <c r="B122" s="224" t="s">
        <v>366</v>
      </c>
      <c r="C122" s="376">
        <v>61</v>
      </c>
      <c r="D122" s="377">
        <v>72</v>
      </c>
      <c r="E122" s="377">
        <v>111</v>
      </c>
      <c r="F122" s="377">
        <v>135</v>
      </c>
      <c r="G122" s="379">
        <v>379</v>
      </c>
      <c r="H122" s="376">
        <v>49</v>
      </c>
      <c r="I122" s="377">
        <v>47</v>
      </c>
      <c r="J122" s="377">
        <v>93</v>
      </c>
      <c r="K122" s="377">
        <v>108</v>
      </c>
      <c r="L122" s="378">
        <v>297</v>
      </c>
      <c r="M122" s="376">
        <v>110</v>
      </c>
      <c r="N122" s="377">
        <v>119</v>
      </c>
      <c r="O122" s="377">
        <v>204</v>
      </c>
      <c r="P122" s="377">
        <v>243</v>
      </c>
      <c r="Q122" s="379">
        <v>676</v>
      </c>
      <c r="R122" s="526">
        <v>24</v>
      </c>
      <c r="S122" s="370"/>
      <c r="T122" s="370"/>
    </row>
    <row r="123" spans="1:22" ht="15.75" customHeight="1" x14ac:dyDescent="0.35">
      <c r="A123" s="223"/>
      <c r="B123" s="224" t="s">
        <v>333</v>
      </c>
      <c r="C123" s="376">
        <v>58</v>
      </c>
      <c r="D123" s="377">
        <v>68</v>
      </c>
      <c r="E123" s="377">
        <v>102</v>
      </c>
      <c r="F123" s="377">
        <v>129</v>
      </c>
      <c r="G123" s="379">
        <v>357</v>
      </c>
      <c r="H123" s="376">
        <v>57</v>
      </c>
      <c r="I123" s="377">
        <v>58</v>
      </c>
      <c r="J123" s="377">
        <v>92</v>
      </c>
      <c r="K123" s="377">
        <v>106</v>
      </c>
      <c r="L123" s="378">
        <v>313</v>
      </c>
      <c r="M123" s="376">
        <v>115</v>
      </c>
      <c r="N123" s="377">
        <v>126</v>
      </c>
      <c r="O123" s="377">
        <v>194</v>
      </c>
      <c r="P123" s="377">
        <v>235</v>
      </c>
      <c r="Q123" s="379">
        <v>670</v>
      </c>
      <c r="R123" s="526">
        <v>26</v>
      </c>
      <c r="S123" s="370"/>
      <c r="T123" s="370"/>
    </row>
    <row r="124" spans="1:22" ht="15.75" customHeight="1" x14ac:dyDescent="0.35">
      <c r="A124" s="223"/>
      <c r="B124" s="224" t="s">
        <v>298</v>
      </c>
      <c r="C124" s="376">
        <v>53</v>
      </c>
      <c r="D124" s="377">
        <v>82</v>
      </c>
      <c r="E124" s="377">
        <v>94</v>
      </c>
      <c r="F124" s="377">
        <v>117</v>
      </c>
      <c r="G124" s="379">
        <v>346</v>
      </c>
      <c r="H124" s="376">
        <v>62</v>
      </c>
      <c r="I124" s="377">
        <v>58</v>
      </c>
      <c r="J124" s="377">
        <v>79</v>
      </c>
      <c r="K124" s="377">
        <v>106</v>
      </c>
      <c r="L124" s="378">
        <v>305</v>
      </c>
      <c r="M124" s="376">
        <v>115</v>
      </c>
      <c r="N124" s="377">
        <v>140</v>
      </c>
      <c r="O124" s="377">
        <v>173</v>
      </c>
      <c r="P124" s="377">
        <v>223</v>
      </c>
      <c r="Q124" s="379">
        <v>651</v>
      </c>
      <c r="R124" s="526">
        <v>30</v>
      </c>
      <c r="S124" s="370"/>
      <c r="T124" s="370"/>
    </row>
    <row r="125" spans="1:22" ht="15.75" customHeight="1" thickBot="1" x14ac:dyDescent="0.4">
      <c r="A125" s="338"/>
      <c r="B125" s="339" t="s">
        <v>132</v>
      </c>
      <c r="C125" s="340">
        <v>66</v>
      </c>
      <c r="D125" s="390">
        <v>87</v>
      </c>
      <c r="E125" s="390">
        <v>88</v>
      </c>
      <c r="F125" s="390">
        <v>125</v>
      </c>
      <c r="G125" s="391">
        <v>366</v>
      </c>
      <c r="H125" s="340">
        <v>74</v>
      </c>
      <c r="I125" s="390">
        <v>65</v>
      </c>
      <c r="J125" s="390">
        <v>77</v>
      </c>
      <c r="K125" s="390">
        <v>102</v>
      </c>
      <c r="L125" s="797">
        <v>318</v>
      </c>
      <c r="M125" s="340">
        <v>140</v>
      </c>
      <c r="N125" s="390">
        <v>152</v>
      </c>
      <c r="O125" s="390">
        <v>165</v>
      </c>
      <c r="P125" s="390">
        <v>227</v>
      </c>
      <c r="Q125" s="391">
        <v>684</v>
      </c>
      <c r="R125" s="527">
        <v>31</v>
      </c>
      <c r="S125" s="370"/>
      <c r="T125" s="370"/>
      <c r="U125" s="368" t="s">
        <v>108</v>
      </c>
    </row>
    <row r="126" spans="1:22" ht="15.75" customHeight="1" x14ac:dyDescent="0.35">
      <c r="A126" s="216" t="s">
        <v>70</v>
      </c>
      <c r="T126" s="368" t="s">
        <v>108</v>
      </c>
    </row>
    <row r="128" spans="1:22" s="217" customFormat="1" ht="32.25" customHeight="1" thickBot="1" x14ac:dyDescent="0.35">
      <c r="A128" s="185" t="s">
        <v>593</v>
      </c>
    </row>
    <row r="129" spans="1:34" s="219" customFormat="1" ht="21.75" customHeight="1" thickBot="1" x14ac:dyDescent="0.4">
      <c r="A129" s="237"/>
      <c r="B129" s="238"/>
      <c r="C129" s="1696" t="s">
        <v>63</v>
      </c>
      <c r="D129" s="1697"/>
      <c r="E129" s="1697"/>
      <c r="F129" s="1697"/>
      <c r="G129" s="1698"/>
      <c r="H129" s="1696" t="s">
        <v>64</v>
      </c>
      <c r="I129" s="1697"/>
      <c r="J129" s="1697"/>
      <c r="K129" s="1697"/>
      <c r="L129" s="1698"/>
      <c r="M129" s="1696" t="s">
        <v>65</v>
      </c>
      <c r="N129" s="1697"/>
      <c r="O129" s="1697"/>
      <c r="P129" s="1697"/>
      <c r="Q129" s="1697"/>
      <c r="R129" s="1698"/>
    </row>
    <row r="130" spans="1:34" s="219" customFormat="1" ht="83.25" customHeight="1" thickBot="1" x14ac:dyDescent="0.4">
      <c r="A130" s="239" t="s">
        <v>2</v>
      </c>
      <c r="B130" s="220" t="s">
        <v>3</v>
      </c>
      <c r="C130" s="269" t="s">
        <v>66</v>
      </c>
      <c r="D130" s="266" t="s">
        <v>296</v>
      </c>
      <c r="E130" s="266" t="s">
        <v>297</v>
      </c>
      <c r="F130" s="266" t="s">
        <v>67</v>
      </c>
      <c r="G130" s="296" t="s">
        <v>68</v>
      </c>
      <c r="H130" s="286" t="s">
        <v>66</v>
      </c>
      <c r="I130" s="266" t="s">
        <v>296</v>
      </c>
      <c r="J130" s="266" t="s">
        <v>297</v>
      </c>
      <c r="K130" s="266" t="s">
        <v>67</v>
      </c>
      <c r="L130" s="296" t="s">
        <v>13</v>
      </c>
      <c r="M130" s="286" t="s">
        <v>66</v>
      </c>
      <c r="N130" s="266" t="s">
        <v>296</v>
      </c>
      <c r="O130" s="266" t="s">
        <v>297</v>
      </c>
      <c r="P130" s="266" t="s">
        <v>67</v>
      </c>
      <c r="Q130" s="296" t="s">
        <v>13</v>
      </c>
      <c r="R130" s="399" t="s">
        <v>69</v>
      </c>
    </row>
    <row r="131" spans="1:34" ht="22.5" customHeight="1" x14ac:dyDescent="0.35">
      <c r="A131" s="243">
        <v>1</v>
      </c>
      <c r="B131" s="222" t="s">
        <v>14</v>
      </c>
      <c r="C131" s="801">
        <v>17</v>
      </c>
      <c r="D131" s="802">
        <v>1</v>
      </c>
      <c r="E131" s="802">
        <v>0</v>
      </c>
      <c r="F131" s="1383">
        <v>0</v>
      </c>
      <c r="G131" s="803">
        <f t="shared" ref="G131:G145" si="36">SUM(C131:F131)</f>
        <v>18</v>
      </c>
      <c r="H131" s="801">
        <v>17</v>
      </c>
      <c r="I131" s="802">
        <v>4</v>
      </c>
      <c r="J131" s="802">
        <v>0</v>
      </c>
      <c r="K131" s="1383">
        <v>2</v>
      </c>
      <c r="L131" s="803">
        <f t="shared" ref="L131:L145" si="37">SUM(H131:K131)</f>
        <v>23</v>
      </c>
      <c r="M131" s="801">
        <f t="shared" ref="M131:M145" si="38">C131+H131</f>
        <v>34</v>
      </c>
      <c r="N131" s="802">
        <f t="shared" ref="N131:N145" si="39">D131+I131</f>
        <v>5</v>
      </c>
      <c r="O131" s="802">
        <f t="shared" ref="O131:O145" si="40">E131+J131</f>
        <v>0</v>
      </c>
      <c r="P131" s="802">
        <f t="shared" ref="P131:P145" si="41">F131+K131</f>
        <v>2</v>
      </c>
      <c r="Q131" s="803">
        <f t="shared" ref="Q131:Q145" si="42">SUM(M131:P131)</f>
        <v>41</v>
      </c>
      <c r="R131" s="644">
        <v>37</v>
      </c>
      <c r="S131" s="370"/>
      <c r="T131" s="400"/>
    </row>
    <row r="132" spans="1:34" ht="15.75" customHeight="1" x14ac:dyDescent="0.35">
      <c r="A132" s="245">
        <v>2</v>
      </c>
      <c r="B132" s="224" t="s">
        <v>15</v>
      </c>
      <c r="C132" s="386">
        <v>14</v>
      </c>
      <c r="D132" s="377">
        <v>0</v>
      </c>
      <c r="E132" s="377">
        <v>0</v>
      </c>
      <c r="F132" s="1384">
        <v>5</v>
      </c>
      <c r="G132" s="379">
        <f t="shared" si="36"/>
        <v>19</v>
      </c>
      <c r="H132" s="386">
        <v>20</v>
      </c>
      <c r="I132" s="377">
        <v>0</v>
      </c>
      <c r="J132" s="377">
        <v>0</v>
      </c>
      <c r="K132" s="1384">
        <v>4</v>
      </c>
      <c r="L132" s="379">
        <f t="shared" si="37"/>
        <v>24</v>
      </c>
      <c r="M132" s="386">
        <f t="shared" si="38"/>
        <v>34</v>
      </c>
      <c r="N132" s="377">
        <f t="shared" si="39"/>
        <v>0</v>
      </c>
      <c r="O132" s="377">
        <f t="shared" si="40"/>
        <v>0</v>
      </c>
      <c r="P132" s="377">
        <f t="shared" si="41"/>
        <v>9</v>
      </c>
      <c r="Q132" s="379">
        <f t="shared" si="42"/>
        <v>43</v>
      </c>
      <c r="R132" s="645">
        <v>0</v>
      </c>
      <c r="S132" s="370"/>
      <c r="T132" s="400"/>
    </row>
    <row r="133" spans="1:34" ht="15.75" customHeight="1" x14ac:dyDescent="0.35">
      <c r="A133" s="245">
        <v>3</v>
      </c>
      <c r="B133" s="224" t="s">
        <v>16</v>
      </c>
      <c r="C133" s="386">
        <v>34</v>
      </c>
      <c r="D133" s="377">
        <v>1</v>
      </c>
      <c r="E133" s="377">
        <v>1</v>
      </c>
      <c r="F133" s="1384">
        <v>4</v>
      </c>
      <c r="G133" s="379">
        <f t="shared" si="36"/>
        <v>40</v>
      </c>
      <c r="H133" s="386">
        <v>28</v>
      </c>
      <c r="I133" s="377">
        <v>0</v>
      </c>
      <c r="J133" s="377">
        <v>0</v>
      </c>
      <c r="K133" s="1384">
        <v>3</v>
      </c>
      <c r="L133" s="379">
        <f t="shared" si="37"/>
        <v>31</v>
      </c>
      <c r="M133" s="386">
        <f t="shared" si="38"/>
        <v>62</v>
      </c>
      <c r="N133" s="377">
        <f t="shared" si="39"/>
        <v>1</v>
      </c>
      <c r="O133" s="377">
        <f t="shared" si="40"/>
        <v>1</v>
      </c>
      <c r="P133" s="377">
        <f t="shared" si="41"/>
        <v>7</v>
      </c>
      <c r="Q133" s="379">
        <f t="shared" si="42"/>
        <v>71</v>
      </c>
      <c r="R133" s="645">
        <v>14</v>
      </c>
      <c r="S133" s="370"/>
      <c r="T133" s="426"/>
      <c r="U133" s="425"/>
      <c r="V133" s="426"/>
      <c r="W133" s="426"/>
      <c r="X133" s="426"/>
      <c r="Y133" s="426"/>
      <c r="Z133" s="426"/>
      <c r="AA133" s="426"/>
      <c r="AB133" s="426"/>
      <c r="AC133" s="426"/>
      <c r="AD133" s="426"/>
      <c r="AE133" s="426"/>
      <c r="AF133" s="426"/>
      <c r="AG133" s="426"/>
      <c r="AH133" s="426"/>
    </row>
    <row r="134" spans="1:34" ht="15.75" customHeight="1" x14ac:dyDescent="0.35">
      <c r="A134" s="245">
        <v>4</v>
      </c>
      <c r="B134" s="224" t="s">
        <v>17</v>
      </c>
      <c r="C134" s="386">
        <v>12</v>
      </c>
      <c r="D134" s="377">
        <v>0</v>
      </c>
      <c r="E134" s="377">
        <v>0</v>
      </c>
      <c r="F134" s="1384">
        <v>3</v>
      </c>
      <c r="G134" s="379">
        <f t="shared" si="36"/>
        <v>15</v>
      </c>
      <c r="H134" s="386">
        <v>9</v>
      </c>
      <c r="I134" s="377">
        <v>0</v>
      </c>
      <c r="J134" s="377">
        <v>0</v>
      </c>
      <c r="K134" s="1384">
        <v>1</v>
      </c>
      <c r="L134" s="379">
        <f t="shared" si="37"/>
        <v>10</v>
      </c>
      <c r="M134" s="386">
        <f t="shared" si="38"/>
        <v>21</v>
      </c>
      <c r="N134" s="377">
        <f t="shared" si="39"/>
        <v>0</v>
      </c>
      <c r="O134" s="377">
        <f t="shared" si="40"/>
        <v>0</v>
      </c>
      <c r="P134" s="377">
        <f t="shared" si="41"/>
        <v>4</v>
      </c>
      <c r="Q134" s="379">
        <f t="shared" si="42"/>
        <v>25</v>
      </c>
      <c r="R134" s="645">
        <v>11</v>
      </c>
      <c r="S134" s="370"/>
      <c r="T134" s="426" t="s">
        <v>365</v>
      </c>
      <c r="U134" s="425" t="s">
        <v>315</v>
      </c>
      <c r="V134" s="426"/>
      <c r="W134" s="426"/>
      <c r="X134" s="426"/>
      <c r="Y134" s="426"/>
      <c r="Z134" s="426"/>
      <c r="AA134" s="426"/>
      <c r="AB134" s="426"/>
      <c r="AC134" s="426"/>
      <c r="AD134" s="426"/>
      <c r="AE134" s="426"/>
      <c r="AF134" s="426"/>
      <c r="AG134" s="426"/>
      <c r="AH134" s="426"/>
    </row>
    <row r="135" spans="1:34" ht="16.5" customHeight="1" x14ac:dyDescent="0.35">
      <c r="A135" s="245">
        <v>5</v>
      </c>
      <c r="B135" s="224" t="s">
        <v>18</v>
      </c>
      <c r="C135" s="386">
        <v>15</v>
      </c>
      <c r="D135" s="377">
        <v>0</v>
      </c>
      <c r="E135" s="377">
        <v>1</v>
      </c>
      <c r="F135" s="1384">
        <v>1</v>
      </c>
      <c r="G135" s="379">
        <f t="shared" si="36"/>
        <v>17</v>
      </c>
      <c r="H135" s="386">
        <v>7</v>
      </c>
      <c r="I135" s="377">
        <v>0</v>
      </c>
      <c r="J135" s="377">
        <v>1</v>
      </c>
      <c r="K135" s="1384">
        <v>1</v>
      </c>
      <c r="L135" s="379">
        <f t="shared" si="37"/>
        <v>9</v>
      </c>
      <c r="M135" s="386">
        <f t="shared" si="38"/>
        <v>22</v>
      </c>
      <c r="N135" s="377">
        <f t="shared" si="39"/>
        <v>0</v>
      </c>
      <c r="O135" s="377">
        <f t="shared" si="40"/>
        <v>2</v>
      </c>
      <c r="P135" s="377">
        <f t="shared" si="41"/>
        <v>2</v>
      </c>
      <c r="Q135" s="379">
        <f t="shared" si="42"/>
        <v>26</v>
      </c>
      <c r="R135" s="645">
        <v>0</v>
      </c>
      <c r="S135" s="370"/>
      <c r="T135" s="426"/>
      <c r="U135" s="425"/>
      <c r="V135" s="426"/>
      <c r="W135" s="426"/>
      <c r="X135" s="426"/>
      <c r="Y135" s="426"/>
      <c r="Z135" s="426"/>
      <c r="AA135" s="426"/>
      <c r="AB135" s="426"/>
      <c r="AC135" s="426"/>
      <c r="AD135" s="426"/>
      <c r="AE135" s="426"/>
      <c r="AF135" s="426"/>
      <c r="AG135" s="426"/>
      <c r="AH135" s="426"/>
    </row>
    <row r="136" spans="1:34" ht="15.75" customHeight="1" x14ac:dyDescent="0.35">
      <c r="A136" s="247">
        <v>6</v>
      </c>
      <c r="B136" s="226" t="s">
        <v>19</v>
      </c>
      <c r="C136" s="386">
        <v>3</v>
      </c>
      <c r="D136" s="377">
        <v>0</v>
      </c>
      <c r="E136" s="377">
        <v>0</v>
      </c>
      <c r="F136" s="1384">
        <v>2</v>
      </c>
      <c r="G136" s="379">
        <f t="shared" si="36"/>
        <v>5</v>
      </c>
      <c r="H136" s="386">
        <v>1</v>
      </c>
      <c r="I136" s="377">
        <v>0</v>
      </c>
      <c r="J136" s="377">
        <v>1</v>
      </c>
      <c r="K136" s="1384">
        <v>1</v>
      </c>
      <c r="L136" s="379">
        <f t="shared" si="37"/>
        <v>3</v>
      </c>
      <c r="M136" s="386">
        <f t="shared" si="38"/>
        <v>4</v>
      </c>
      <c r="N136" s="377">
        <f t="shared" si="39"/>
        <v>0</v>
      </c>
      <c r="O136" s="377">
        <f t="shared" si="40"/>
        <v>1</v>
      </c>
      <c r="P136" s="377">
        <f t="shared" si="41"/>
        <v>3</v>
      </c>
      <c r="Q136" s="379">
        <f t="shared" si="42"/>
        <v>8</v>
      </c>
      <c r="R136" s="645">
        <v>0</v>
      </c>
      <c r="S136" s="370"/>
      <c r="T136" s="426"/>
      <c r="U136" s="425"/>
      <c r="V136" s="426"/>
      <c r="W136" s="426"/>
      <c r="X136" s="426"/>
      <c r="Y136" s="426"/>
      <c r="Z136" s="426"/>
      <c r="AA136" s="426"/>
      <c r="AB136" s="426"/>
      <c r="AC136" s="426"/>
      <c r="AD136" s="426"/>
      <c r="AE136" s="426"/>
      <c r="AF136" s="426"/>
      <c r="AG136" s="426"/>
      <c r="AH136" s="426"/>
    </row>
    <row r="137" spans="1:34" ht="15.75" customHeight="1" x14ac:dyDescent="0.35">
      <c r="A137" s="247">
        <v>7</v>
      </c>
      <c r="B137" s="226" t="s">
        <v>20</v>
      </c>
      <c r="C137" s="386">
        <v>2</v>
      </c>
      <c r="D137" s="377">
        <v>0</v>
      </c>
      <c r="E137" s="377">
        <v>1</v>
      </c>
      <c r="F137" s="1384">
        <v>1</v>
      </c>
      <c r="G137" s="379">
        <f t="shared" si="36"/>
        <v>4</v>
      </c>
      <c r="H137" s="386">
        <v>2</v>
      </c>
      <c r="I137" s="377">
        <v>0</v>
      </c>
      <c r="J137" s="377">
        <v>3</v>
      </c>
      <c r="K137" s="1384">
        <v>0</v>
      </c>
      <c r="L137" s="379">
        <f t="shared" si="37"/>
        <v>5</v>
      </c>
      <c r="M137" s="386">
        <f t="shared" si="38"/>
        <v>4</v>
      </c>
      <c r="N137" s="377">
        <f t="shared" si="39"/>
        <v>0</v>
      </c>
      <c r="O137" s="377">
        <f t="shared" si="40"/>
        <v>4</v>
      </c>
      <c r="P137" s="377">
        <f t="shared" si="41"/>
        <v>1</v>
      </c>
      <c r="Q137" s="379">
        <f t="shared" si="42"/>
        <v>9</v>
      </c>
      <c r="R137" s="645">
        <v>0</v>
      </c>
      <c r="S137" s="370"/>
      <c r="T137" s="370"/>
    </row>
    <row r="138" spans="1:34" ht="15.75" customHeight="1" x14ac:dyDescent="0.35">
      <c r="A138" s="245">
        <v>8</v>
      </c>
      <c r="B138" s="224" t="s">
        <v>21</v>
      </c>
      <c r="C138" s="386">
        <v>9</v>
      </c>
      <c r="D138" s="377">
        <v>1</v>
      </c>
      <c r="E138" s="377">
        <v>2</v>
      </c>
      <c r="F138" s="1384">
        <v>0</v>
      </c>
      <c r="G138" s="379">
        <f t="shared" si="36"/>
        <v>12</v>
      </c>
      <c r="H138" s="386">
        <v>8</v>
      </c>
      <c r="I138" s="377">
        <v>0</v>
      </c>
      <c r="J138" s="377">
        <v>2</v>
      </c>
      <c r="K138" s="1384">
        <v>2</v>
      </c>
      <c r="L138" s="379">
        <f t="shared" si="37"/>
        <v>12</v>
      </c>
      <c r="M138" s="386">
        <f t="shared" si="38"/>
        <v>17</v>
      </c>
      <c r="N138" s="377">
        <f t="shared" si="39"/>
        <v>1</v>
      </c>
      <c r="O138" s="377">
        <f t="shared" si="40"/>
        <v>4</v>
      </c>
      <c r="P138" s="377">
        <f t="shared" si="41"/>
        <v>2</v>
      </c>
      <c r="Q138" s="379">
        <f t="shared" si="42"/>
        <v>24</v>
      </c>
      <c r="R138" s="645">
        <v>15</v>
      </c>
      <c r="S138" s="370"/>
      <c r="T138" s="426"/>
      <c r="U138" s="425"/>
      <c r="V138" s="426"/>
      <c r="W138" s="426"/>
      <c r="X138" s="426"/>
      <c r="Y138" s="426"/>
      <c r="Z138" s="426"/>
      <c r="AA138" s="426" t="s">
        <v>432</v>
      </c>
      <c r="AB138" s="426"/>
      <c r="AC138" s="426"/>
      <c r="AD138" s="426"/>
      <c r="AE138" s="426"/>
      <c r="AF138" s="426"/>
      <c r="AG138" s="426"/>
      <c r="AH138" s="426"/>
    </row>
    <row r="139" spans="1:34" ht="15.75" customHeight="1" x14ac:dyDescent="0.35">
      <c r="A139" s="245">
        <v>9</v>
      </c>
      <c r="B139" s="224" t="s">
        <v>22</v>
      </c>
      <c r="C139" s="386">
        <v>3</v>
      </c>
      <c r="D139" s="377">
        <v>0</v>
      </c>
      <c r="E139" s="377">
        <v>0</v>
      </c>
      <c r="F139" s="1384">
        <v>1</v>
      </c>
      <c r="G139" s="379">
        <f t="shared" si="36"/>
        <v>4</v>
      </c>
      <c r="H139" s="386">
        <v>4</v>
      </c>
      <c r="I139" s="377">
        <v>0</v>
      </c>
      <c r="J139" s="377">
        <v>0</v>
      </c>
      <c r="K139" s="1384">
        <v>1</v>
      </c>
      <c r="L139" s="379">
        <f t="shared" si="37"/>
        <v>5</v>
      </c>
      <c r="M139" s="386">
        <f t="shared" si="38"/>
        <v>7</v>
      </c>
      <c r="N139" s="377">
        <f t="shared" si="39"/>
        <v>0</v>
      </c>
      <c r="O139" s="377">
        <f t="shared" si="40"/>
        <v>0</v>
      </c>
      <c r="P139" s="377">
        <f t="shared" si="41"/>
        <v>2</v>
      </c>
      <c r="Q139" s="379">
        <f t="shared" si="42"/>
        <v>9</v>
      </c>
      <c r="R139" s="645">
        <v>7</v>
      </c>
      <c r="S139" s="370"/>
      <c r="T139" s="370"/>
    </row>
    <row r="140" spans="1:34" ht="15.75" customHeight="1" x14ac:dyDescent="0.35">
      <c r="A140" s="245">
        <v>10</v>
      </c>
      <c r="B140" s="224" t="s">
        <v>23</v>
      </c>
      <c r="C140" s="386">
        <v>7</v>
      </c>
      <c r="D140" s="377">
        <v>2</v>
      </c>
      <c r="E140" s="377">
        <v>1</v>
      </c>
      <c r="F140" s="1384">
        <v>0</v>
      </c>
      <c r="G140" s="379">
        <f t="shared" si="36"/>
        <v>10</v>
      </c>
      <c r="H140" s="386">
        <v>8</v>
      </c>
      <c r="I140" s="377">
        <v>6</v>
      </c>
      <c r="J140" s="377">
        <v>2</v>
      </c>
      <c r="K140" s="1384">
        <v>2</v>
      </c>
      <c r="L140" s="379">
        <f t="shared" si="37"/>
        <v>18</v>
      </c>
      <c r="M140" s="386">
        <f t="shared" si="38"/>
        <v>15</v>
      </c>
      <c r="N140" s="377">
        <f t="shared" si="39"/>
        <v>8</v>
      </c>
      <c r="O140" s="377">
        <f t="shared" si="40"/>
        <v>3</v>
      </c>
      <c r="P140" s="377">
        <f t="shared" si="41"/>
        <v>2</v>
      </c>
      <c r="Q140" s="379">
        <f t="shared" si="42"/>
        <v>28</v>
      </c>
      <c r="R140" s="645">
        <v>12</v>
      </c>
      <c r="S140" s="370"/>
      <c r="T140" s="370"/>
    </row>
    <row r="141" spans="1:34" ht="15.75" customHeight="1" x14ac:dyDescent="0.35">
      <c r="A141" s="247">
        <v>11</v>
      </c>
      <c r="B141" s="226" t="s">
        <v>24</v>
      </c>
      <c r="C141" s="386">
        <v>9</v>
      </c>
      <c r="D141" s="377">
        <v>0</v>
      </c>
      <c r="E141" s="377">
        <v>1</v>
      </c>
      <c r="F141" s="1384">
        <v>2</v>
      </c>
      <c r="G141" s="379">
        <f t="shared" si="36"/>
        <v>12</v>
      </c>
      <c r="H141" s="386">
        <v>3</v>
      </c>
      <c r="I141" s="377">
        <v>0</v>
      </c>
      <c r="J141" s="377">
        <v>0</v>
      </c>
      <c r="K141" s="1384">
        <v>0</v>
      </c>
      <c r="L141" s="379">
        <f t="shared" si="37"/>
        <v>3</v>
      </c>
      <c r="M141" s="386">
        <f t="shared" si="38"/>
        <v>12</v>
      </c>
      <c r="N141" s="377">
        <f t="shared" si="39"/>
        <v>0</v>
      </c>
      <c r="O141" s="377">
        <f t="shared" si="40"/>
        <v>1</v>
      </c>
      <c r="P141" s="377">
        <f t="shared" si="41"/>
        <v>2</v>
      </c>
      <c r="Q141" s="379">
        <f t="shared" si="42"/>
        <v>15</v>
      </c>
      <c r="R141" s="645">
        <v>0</v>
      </c>
      <c r="S141" s="370"/>
      <c r="T141" s="370"/>
    </row>
    <row r="142" spans="1:34" ht="15.75" customHeight="1" x14ac:dyDescent="0.35">
      <c r="A142" s="245">
        <v>12</v>
      </c>
      <c r="B142" s="224" t="s">
        <v>25</v>
      </c>
      <c r="C142" s="386">
        <v>1</v>
      </c>
      <c r="D142" s="377">
        <v>1</v>
      </c>
      <c r="E142" s="377">
        <v>0</v>
      </c>
      <c r="F142" s="1384">
        <v>3</v>
      </c>
      <c r="G142" s="379">
        <f t="shared" si="36"/>
        <v>5</v>
      </c>
      <c r="H142" s="386">
        <v>1</v>
      </c>
      <c r="I142" s="377">
        <v>0</v>
      </c>
      <c r="J142" s="377">
        <v>2</v>
      </c>
      <c r="K142" s="1384">
        <v>3</v>
      </c>
      <c r="L142" s="379">
        <f t="shared" si="37"/>
        <v>6</v>
      </c>
      <c r="M142" s="386">
        <f t="shared" si="38"/>
        <v>2</v>
      </c>
      <c r="N142" s="377">
        <f t="shared" si="39"/>
        <v>1</v>
      </c>
      <c r="O142" s="377">
        <f t="shared" si="40"/>
        <v>2</v>
      </c>
      <c r="P142" s="377">
        <f t="shared" si="41"/>
        <v>6</v>
      </c>
      <c r="Q142" s="379">
        <f t="shared" si="42"/>
        <v>11</v>
      </c>
      <c r="R142" s="645">
        <v>2</v>
      </c>
      <c r="S142" s="370"/>
      <c r="T142" s="370"/>
    </row>
    <row r="143" spans="1:34" ht="15.75" customHeight="1" x14ac:dyDescent="0.35">
      <c r="A143" s="245">
        <v>13</v>
      </c>
      <c r="B143" s="224" t="s">
        <v>26</v>
      </c>
      <c r="C143" s="386">
        <v>14</v>
      </c>
      <c r="D143" s="377">
        <v>0</v>
      </c>
      <c r="E143" s="377">
        <v>0</v>
      </c>
      <c r="F143" s="1384">
        <v>1</v>
      </c>
      <c r="G143" s="379">
        <f t="shared" si="36"/>
        <v>15</v>
      </c>
      <c r="H143" s="386">
        <v>12</v>
      </c>
      <c r="I143" s="377">
        <v>1</v>
      </c>
      <c r="J143" s="377">
        <v>4</v>
      </c>
      <c r="K143" s="1384">
        <v>0</v>
      </c>
      <c r="L143" s="379">
        <f t="shared" si="37"/>
        <v>17</v>
      </c>
      <c r="M143" s="386">
        <f t="shared" si="38"/>
        <v>26</v>
      </c>
      <c r="N143" s="377">
        <f t="shared" si="39"/>
        <v>1</v>
      </c>
      <c r="O143" s="377">
        <f t="shared" si="40"/>
        <v>4</v>
      </c>
      <c r="P143" s="377">
        <f t="shared" si="41"/>
        <v>1</v>
      </c>
      <c r="Q143" s="379">
        <f t="shared" si="42"/>
        <v>32</v>
      </c>
      <c r="R143" s="645">
        <v>7</v>
      </c>
      <c r="S143" s="370"/>
      <c r="T143" s="370"/>
    </row>
    <row r="144" spans="1:34" ht="15.75" customHeight="1" x14ac:dyDescent="0.35">
      <c r="A144" s="245">
        <v>14</v>
      </c>
      <c r="B144" s="224" t="s">
        <v>27</v>
      </c>
      <c r="C144" s="386">
        <v>11</v>
      </c>
      <c r="D144" s="377">
        <v>0</v>
      </c>
      <c r="E144" s="377">
        <v>3</v>
      </c>
      <c r="F144" s="1384">
        <v>2</v>
      </c>
      <c r="G144" s="379">
        <f t="shared" si="36"/>
        <v>16</v>
      </c>
      <c r="H144" s="386">
        <v>4</v>
      </c>
      <c r="I144" s="377">
        <v>0</v>
      </c>
      <c r="J144" s="377">
        <v>3</v>
      </c>
      <c r="K144" s="1384">
        <v>5</v>
      </c>
      <c r="L144" s="379">
        <f t="shared" si="37"/>
        <v>12</v>
      </c>
      <c r="M144" s="386">
        <f t="shared" si="38"/>
        <v>15</v>
      </c>
      <c r="N144" s="377">
        <f t="shared" si="39"/>
        <v>0</v>
      </c>
      <c r="O144" s="377">
        <f t="shared" si="40"/>
        <v>6</v>
      </c>
      <c r="P144" s="377">
        <f t="shared" si="41"/>
        <v>7</v>
      </c>
      <c r="Q144" s="379">
        <f t="shared" si="42"/>
        <v>28</v>
      </c>
      <c r="R144" s="645">
        <v>3</v>
      </c>
      <c r="S144" s="370"/>
      <c r="T144" s="370"/>
    </row>
    <row r="145" spans="1:34" ht="34.5" customHeight="1" thickBot="1" x14ac:dyDescent="0.4">
      <c r="A145" s="248">
        <v>15</v>
      </c>
      <c r="B145" s="227" t="s">
        <v>28</v>
      </c>
      <c r="C145" s="389">
        <v>0</v>
      </c>
      <c r="D145" s="390">
        <v>0</v>
      </c>
      <c r="E145" s="390">
        <v>0</v>
      </c>
      <c r="F145" s="1385">
        <v>0</v>
      </c>
      <c r="G145" s="391">
        <f t="shared" si="36"/>
        <v>0</v>
      </c>
      <c r="H145" s="389">
        <v>2</v>
      </c>
      <c r="I145" s="390">
        <v>0</v>
      </c>
      <c r="J145" s="390">
        <v>2</v>
      </c>
      <c r="K145" s="1385">
        <v>0</v>
      </c>
      <c r="L145" s="391">
        <f t="shared" si="37"/>
        <v>4</v>
      </c>
      <c r="M145" s="389">
        <f t="shared" si="38"/>
        <v>2</v>
      </c>
      <c r="N145" s="390">
        <f t="shared" si="39"/>
        <v>0</v>
      </c>
      <c r="O145" s="390">
        <f t="shared" si="40"/>
        <v>2</v>
      </c>
      <c r="P145" s="390">
        <f t="shared" si="41"/>
        <v>0</v>
      </c>
      <c r="Q145" s="391">
        <f t="shared" si="42"/>
        <v>4</v>
      </c>
      <c r="R145" s="646">
        <v>0</v>
      </c>
      <c r="S145" s="370"/>
      <c r="T145" s="370"/>
    </row>
    <row r="146" spans="1:34" s="418" customFormat="1" ht="22.5" customHeight="1" x14ac:dyDescent="0.35">
      <c r="A146" s="320"/>
      <c r="B146" s="321" t="s">
        <v>543</v>
      </c>
      <c r="C146" s="322">
        <f t="shared" ref="C146:R146" si="43">SUM(C131:C145)</f>
        <v>151</v>
      </c>
      <c r="D146" s="323">
        <f t="shared" si="43"/>
        <v>6</v>
      </c>
      <c r="E146" s="323">
        <f t="shared" si="43"/>
        <v>10</v>
      </c>
      <c r="F146" s="323">
        <f t="shared" si="43"/>
        <v>25</v>
      </c>
      <c r="G146" s="324">
        <f t="shared" si="43"/>
        <v>192</v>
      </c>
      <c r="H146" s="322">
        <f t="shared" si="43"/>
        <v>126</v>
      </c>
      <c r="I146" s="323">
        <f t="shared" si="43"/>
        <v>11</v>
      </c>
      <c r="J146" s="323">
        <f t="shared" si="43"/>
        <v>20</v>
      </c>
      <c r="K146" s="323">
        <f t="shared" si="43"/>
        <v>25</v>
      </c>
      <c r="L146" s="324">
        <f t="shared" si="43"/>
        <v>182</v>
      </c>
      <c r="M146" s="322">
        <f t="shared" si="43"/>
        <v>277</v>
      </c>
      <c r="N146" s="323">
        <f t="shared" si="43"/>
        <v>17</v>
      </c>
      <c r="O146" s="323">
        <f t="shared" si="43"/>
        <v>30</v>
      </c>
      <c r="P146" s="323">
        <f t="shared" si="43"/>
        <v>50</v>
      </c>
      <c r="Q146" s="324">
        <f t="shared" si="43"/>
        <v>374</v>
      </c>
      <c r="R146" s="325">
        <f t="shared" si="43"/>
        <v>108</v>
      </c>
      <c r="S146" s="326"/>
      <c r="T146" s="326"/>
      <c r="U146" s="418" t="s">
        <v>108</v>
      </c>
    </row>
    <row r="147" spans="1:34" s="418" customFormat="1" ht="22.5" customHeight="1" x14ac:dyDescent="0.35">
      <c r="A147" s="1374"/>
      <c r="B147" s="226" t="s">
        <v>454</v>
      </c>
      <c r="C147" s="1375">
        <v>132</v>
      </c>
      <c r="D147" s="1376">
        <v>9</v>
      </c>
      <c r="E147" s="1376">
        <v>18</v>
      </c>
      <c r="F147" s="1376">
        <v>25</v>
      </c>
      <c r="G147" s="1377">
        <v>184</v>
      </c>
      <c r="H147" s="1375">
        <v>87</v>
      </c>
      <c r="I147" s="1376">
        <v>8</v>
      </c>
      <c r="J147" s="1376">
        <v>20</v>
      </c>
      <c r="K147" s="1376">
        <v>21</v>
      </c>
      <c r="L147" s="1378">
        <v>136</v>
      </c>
      <c r="M147" s="1375">
        <v>219</v>
      </c>
      <c r="N147" s="1376">
        <v>17</v>
      </c>
      <c r="O147" s="1376">
        <v>38</v>
      </c>
      <c r="P147" s="1376">
        <v>46</v>
      </c>
      <c r="Q147" s="379">
        <v>320</v>
      </c>
      <c r="R147" s="526">
        <v>96</v>
      </c>
      <c r="S147" s="326"/>
      <c r="T147" s="326"/>
    </row>
    <row r="148" spans="1:34" ht="15.75" customHeight="1" x14ac:dyDescent="0.35">
      <c r="A148" s="223"/>
      <c r="B148" s="224" t="s">
        <v>414</v>
      </c>
      <c r="C148" s="376">
        <v>135</v>
      </c>
      <c r="D148" s="377">
        <v>11</v>
      </c>
      <c r="E148" s="377">
        <v>20</v>
      </c>
      <c r="F148" s="377">
        <v>18</v>
      </c>
      <c r="G148" s="379">
        <v>184</v>
      </c>
      <c r="H148" s="376">
        <v>122</v>
      </c>
      <c r="I148" s="377">
        <v>14</v>
      </c>
      <c r="J148" s="377">
        <v>16</v>
      </c>
      <c r="K148" s="377">
        <v>18</v>
      </c>
      <c r="L148" s="378">
        <v>170</v>
      </c>
      <c r="M148" s="376">
        <v>257</v>
      </c>
      <c r="N148" s="377">
        <v>25</v>
      </c>
      <c r="O148" s="377">
        <v>36</v>
      </c>
      <c r="P148" s="377">
        <v>36</v>
      </c>
      <c r="Q148" s="379">
        <v>354</v>
      </c>
      <c r="R148" s="526">
        <v>93</v>
      </c>
      <c r="S148" s="370"/>
      <c r="T148" s="326"/>
      <c r="U148" s="368" t="s">
        <v>108</v>
      </c>
    </row>
    <row r="149" spans="1:34" ht="15.75" customHeight="1" x14ac:dyDescent="0.35">
      <c r="A149" s="223"/>
      <c r="B149" s="224" t="s">
        <v>366</v>
      </c>
      <c r="C149" s="376">
        <v>128</v>
      </c>
      <c r="D149" s="377">
        <v>12</v>
      </c>
      <c r="E149" s="377">
        <v>17</v>
      </c>
      <c r="F149" s="377">
        <v>18</v>
      </c>
      <c r="G149" s="379">
        <v>175</v>
      </c>
      <c r="H149" s="376">
        <v>115</v>
      </c>
      <c r="I149" s="377">
        <v>12</v>
      </c>
      <c r="J149" s="377">
        <v>14</v>
      </c>
      <c r="K149" s="377">
        <v>9</v>
      </c>
      <c r="L149" s="378">
        <v>150</v>
      </c>
      <c r="M149" s="376">
        <v>243</v>
      </c>
      <c r="N149" s="377">
        <v>24</v>
      </c>
      <c r="O149" s="377">
        <v>31</v>
      </c>
      <c r="P149" s="377">
        <v>27</v>
      </c>
      <c r="Q149" s="379">
        <v>325</v>
      </c>
      <c r="R149" s="526">
        <v>102</v>
      </c>
      <c r="S149" s="370"/>
      <c r="T149" s="326"/>
      <c r="U149" s="368" t="s">
        <v>108</v>
      </c>
    </row>
    <row r="150" spans="1:34" ht="15.75" customHeight="1" x14ac:dyDescent="0.35">
      <c r="A150" s="223"/>
      <c r="B150" s="224" t="s">
        <v>333</v>
      </c>
      <c r="C150" s="376">
        <v>131</v>
      </c>
      <c r="D150" s="377">
        <v>16</v>
      </c>
      <c r="E150" s="377">
        <v>18</v>
      </c>
      <c r="F150" s="377">
        <v>16</v>
      </c>
      <c r="G150" s="379">
        <v>181</v>
      </c>
      <c r="H150" s="376">
        <v>118</v>
      </c>
      <c r="I150" s="377">
        <v>13</v>
      </c>
      <c r="J150" s="377">
        <v>13</v>
      </c>
      <c r="K150" s="377">
        <v>8</v>
      </c>
      <c r="L150" s="378">
        <v>152</v>
      </c>
      <c r="M150" s="376">
        <v>249</v>
      </c>
      <c r="N150" s="377">
        <v>29</v>
      </c>
      <c r="O150" s="377">
        <v>31</v>
      </c>
      <c r="P150" s="377">
        <v>24</v>
      </c>
      <c r="Q150" s="379">
        <v>333</v>
      </c>
      <c r="R150" s="526">
        <v>90</v>
      </c>
      <c r="S150" s="370"/>
      <c r="T150" s="370"/>
    </row>
    <row r="151" spans="1:34" ht="15.75" customHeight="1" x14ac:dyDescent="0.35">
      <c r="A151" s="223"/>
      <c r="B151" s="224" t="s">
        <v>298</v>
      </c>
      <c r="C151" s="376">
        <v>124</v>
      </c>
      <c r="D151" s="377">
        <v>15</v>
      </c>
      <c r="E151" s="377">
        <v>19</v>
      </c>
      <c r="F151" s="377">
        <v>9</v>
      </c>
      <c r="G151" s="379">
        <v>167</v>
      </c>
      <c r="H151" s="376">
        <v>120</v>
      </c>
      <c r="I151" s="377">
        <v>13</v>
      </c>
      <c r="J151" s="377">
        <v>16</v>
      </c>
      <c r="K151" s="377">
        <v>8</v>
      </c>
      <c r="L151" s="378">
        <v>157</v>
      </c>
      <c r="M151" s="376">
        <v>244</v>
      </c>
      <c r="N151" s="377">
        <v>28</v>
      </c>
      <c r="O151" s="377">
        <v>35</v>
      </c>
      <c r="P151" s="377">
        <v>17</v>
      </c>
      <c r="Q151" s="379">
        <v>324</v>
      </c>
      <c r="R151" s="526">
        <v>94</v>
      </c>
      <c r="S151" s="370"/>
      <c r="T151" s="370"/>
    </row>
    <row r="152" spans="1:34" ht="15.75" customHeight="1" thickBot="1" x14ac:dyDescent="0.4">
      <c r="A152" s="338"/>
      <c r="B152" s="339" t="s">
        <v>132</v>
      </c>
      <c r="C152" s="340">
        <v>132</v>
      </c>
      <c r="D152" s="390">
        <v>14</v>
      </c>
      <c r="E152" s="390">
        <v>19</v>
      </c>
      <c r="F152" s="390">
        <v>11</v>
      </c>
      <c r="G152" s="391">
        <v>176</v>
      </c>
      <c r="H152" s="340">
        <v>129</v>
      </c>
      <c r="I152" s="390">
        <v>16</v>
      </c>
      <c r="J152" s="390">
        <v>14</v>
      </c>
      <c r="K152" s="390">
        <v>8</v>
      </c>
      <c r="L152" s="797">
        <v>167</v>
      </c>
      <c r="M152" s="340">
        <v>261</v>
      </c>
      <c r="N152" s="390">
        <v>30</v>
      </c>
      <c r="O152" s="390">
        <v>33</v>
      </c>
      <c r="P152" s="390">
        <v>19</v>
      </c>
      <c r="Q152" s="391">
        <v>343</v>
      </c>
      <c r="R152" s="527">
        <v>90</v>
      </c>
      <c r="S152" s="370"/>
      <c r="T152" s="370"/>
    </row>
    <row r="153" spans="1:34" ht="15.75" customHeight="1" x14ac:dyDescent="0.35">
      <c r="A153" s="216" t="s">
        <v>70</v>
      </c>
    </row>
    <row r="155" spans="1:34" s="217" customFormat="1" ht="30.75" customHeight="1" thickBot="1" x14ac:dyDescent="0.35">
      <c r="A155" s="185" t="s">
        <v>594</v>
      </c>
    </row>
    <row r="156" spans="1:34" s="219" customFormat="1" ht="24.75" customHeight="1" thickBot="1" x14ac:dyDescent="0.4">
      <c r="A156" s="237"/>
      <c r="B156" s="238"/>
      <c r="C156" s="1696" t="s">
        <v>63</v>
      </c>
      <c r="D156" s="1697"/>
      <c r="E156" s="1697"/>
      <c r="F156" s="1697"/>
      <c r="G156" s="1698"/>
      <c r="H156" s="1696" t="s">
        <v>64</v>
      </c>
      <c r="I156" s="1697"/>
      <c r="J156" s="1697"/>
      <c r="K156" s="1697"/>
      <c r="L156" s="1698"/>
      <c r="M156" s="1696" t="s">
        <v>65</v>
      </c>
      <c r="N156" s="1697"/>
      <c r="O156" s="1697"/>
      <c r="P156" s="1697"/>
      <c r="Q156" s="1697"/>
      <c r="R156" s="1698"/>
    </row>
    <row r="157" spans="1:34" s="219" customFormat="1" ht="80.25" customHeight="1" thickBot="1" x14ac:dyDescent="0.4">
      <c r="A157" s="239" t="s">
        <v>2</v>
      </c>
      <c r="B157" s="220" t="s">
        <v>3</v>
      </c>
      <c r="C157" s="269" t="s">
        <v>66</v>
      </c>
      <c r="D157" s="266" t="s">
        <v>296</v>
      </c>
      <c r="E157" s="266" t="s">
        <v>297</v>
      </c>
      <c r="F157" s="266" t="s">
        <v>67</v>
      </c>
      <c r="G157" s="296" t="s">
        <v>68</v>
      </c>
      <c r="H157" s="286" t="s">
        <v>66</v>
      </c>
      <c r="I157" s="266" t="s">
        <v>296</v>
      </c>
      <c r="J157" s="266" t="s">
        <v>297</v>
      </c>
      <c r="K157" s="266" t="s">
        <v>67</v>
      </c>
      <c r="L157" s="296" t="s">
        <v>13</v>
      </c>
      <c r="M157" s="286" t="s">
        <v>66</v>
      </c>
      <c r="N157" s="266" t="s">
        <v>296</v>
      </c>
      <c r="O157" s="266" t="s">
        <v>297</v>
      </c>
      <c r="P157" s="266" t="s">
        <v>67</v>
      </c>
      <c r="Q157" s="296" t="s">
        <v>13</v>
      </c>
      <c r="R157" s="399" t="s">
        <v>69</v>
      </c>
      <c r="Y157" s="219" t="s">
        <v>108</v>
      </c>
    </row>
    <row r="158" spans="1:34" ht="17.25" customHeight="1" x14ac:dyDescent="0.35">
      <c r="A158" s="243">
        <v>1</v>
      </c>
      <c r="B158" s="222" t="s">
        <v>14</v>
      </c>
      <c r="C158" s="801">
        <v>8</v>
      </c>
      <c r="D158" s="802">
        <v>1</v>
      </c>
      <c r="E158" s="802">
        <v>0</v>
      </c>
      <c r="F158" s="1383">
        <v>0</v>
      </c>
      <c r="G158" s="1380">
        <f t="shared" ref="G158:G172" si="44">SUM(C158:F158)</f>
        <v>9</v>
      </c>
      <c r="H158" s="801">
        <v>10</v>
      </c>
      <c r="I158" s="802">
        <v>1</v>
      </c>
      <c r="J158" s="802">
        <v>1</v>
      </c>
      <c r="K158" s="1383">
        <v>1</v>
      </c>
      <c r="L158" s="374">
        <f t="shared" ref="L158:L172" si="45">SUM(H158:K158)</f>
        <v>13</v>
      </c>
      <c r="M158" s="801">
        <f t="shared" ref="M158:M172" si="46">C158+H158</f>
        <v>18</v>
      </c>
      <c r="N158" s="802">
        <f t="shared" ref="N158:N172" si="47">D158+I158</f>
        <v>2</v>
      </c>
      <c r="O158" s="802">
        <f t="shared" ref="O158:O172" si="48">E158+J158</f>
        <v>1</v>
      </c>
      <c r="P158" s="1383">
        <f t="shared" ref="P158:P172" si="49">F158+K158</f>
        <v>1</v>
      </c>
      <c r="Q158" s="644">
        <f t="shared" ref="Q158:Q172" si="50">SUM(M158:P158)</f>
        <v>22</v>
      </c>
      <c r="R158" s="644">
        <v>15</v>
      </c>
      <c r="S158" s="370"/>
      <c r="T158" s="400"/>
    </row>
    <row r="159" spans="1:34" ht="15.75" customHeight="1" x14ac:dyDescent="0.35">
      <c r="A159" s="245">
        <v>2</v>
      </c>
      <c r="B159" s="224" t="s">
        <v>15</v>
      </c>
      <c r="C159" s="386">
        <v>5</v>
      </c>
      <c r="D159" s="377">
        <v>0</v>
      </c>
      <c r="E159" s="377">
        <v>0</v>
      </c>
      <c r="F159" s="1384">
        <v>1</v>
      </c>
      <c r="G159" s="1381">
        <f t="shared" si="44"/>
        <v>6</v>
      </c>
      <c r="H159" s="386">
        <v>17</v>
      </c>
      <c r="I159" s="377">
        <v>0</v>
      </c>
      <c r="J159" s="377">
        <v>0</v>
      </c>
      <c r="K159" s="1384">
        <v>0</v>
      </c>
      <c r="L159" s="378">
        <f t="shared" si="45"/>
        <v>17</v>
      </c>
      <c r="M159" s="386">
        <f t="shared" si="46"/>
        <v>22</v>
      </c>
      <c r="N159" s="377" t="s">
        <v>108</v>
      </c>
      <c r="O159" s="377">
        <f t="shared" si="48"/>
        <v>0</v>
      </c>
      <c r="P159" s="1384">
        <f t="shared" si="49"/>
        <v>1</v>
      </c>
      <c r="Q159" s="645">
        <f t="shared" si="50"/>
        <v>23</v>
      </c>
      <c r="R159" s="645">
        <v>0</v>
      </c>
      <c r="S159" s="370"/>
      <c r="T159" s="370"/>
    </row>
    <row r="160" spans="1:34" ht="15.75" customHeight="1" x14ac:dyDescent="0.35">
      <c r="A160" s="245">
        <v>3</v>
      </c>
      <c r="B160" s="224" t="s">
        <v>16</v>
      </c>
      <c r="C160" s="386">
        <v>10</v>
      </c>
      <c r="D160" s="377">
        <v>1</v>
      </c>
      <c r="E160" s="377">
        <v>0</v>
      </c>
      <c r="F160" s="1384">
        <v>0</v>
      </c>
      <c r="G160" s="1381">
        <f t="shared" si="44"/>
        <v>11</v>
      </c>
      <c r="H160" s="386">
        <v>22</v>
      </c>
      <c r="I160" s="377">
        <v>0</v>
      </c>
      <c r="J160" s="377">
        <v>0</v>
      </c>
      <c r="K160" s="1384">
        <v>0</v>
      </c>
      <c r="L160" s="378">
        <f t="shared" si="45"/>
        <v>22</v>
      </c>
      <c r="M160" s="386">
        <f t="shared" si="46"/>
        <v>32</v>
      </c>
      <c r="N160" s="377">
        <f t="shared" si="47"/>
        <v>1</v>
      </c>
      <c r="O160" s="377">
        <f t="shared" si="48"/>
        <v>0</v>
      </c>
      <c r="P160" s="1384">
        <f t="shared" si="49"/>
        <v>0</v>
      </c>
      <c r="Q160" s="645">
        <f t="shared" si="50"/>
        <v>33</v>
      </c>
      <c r="R160" s="645">
        <v>15</v>
      </c>
      <c r="S160" s="370"/>
      <c r="T160" s="426"/>
      <c r="U160" s="425"/>
      <c r="V160" s="426"/>
      <c r="W160" s="426"/>
      <c r="X160" s="426"/>
      <c r="Y160" s="426"/>
      <c r="Z160" s="426"/>
      <c r="AA160" s="426"/>
      <c r="AB160" s="426"/>
      <c r="AC160" s="426"/>
      <c r="AD160" s="426"/>
      <c r="AE160" s="426"/>
      <c r="AF160" s="426"/>
      <c r="AG160" s="426"/>
      <c r="AH160" s="426"/>
    </row>
    <row r="161" spans="1:34" ht="15.75" customHeight="1" x14ac:dyDescent="0.35">
      <c r="A161" s="245">
        <v>4</v>
      </c>
      <c r="B161" s="224" t="s">
        <v>17</v>
      </c>
      <c r="C161" s="386">
        <v>7</v>
      </c>
      <c r="D161" s="377">
        <v>0</v>
      </c>
      <c r="E161" s="377">
        <v>1</v>
      </c>
      <c r="F161" s="1384">
        <v>0</v>
      </c>
      <c r="G161" s="1381">
        <f t="shared" si="44"/>
        <v>8</v>
      </c>
      <c r="H161" s="386">
        <v>3</v>
      </c>
      <c r="I161" s="377">
        <v>0</v>
      </c>
      <c r="J161" s="377">
        <v>0</v>
      </c>
      <c r="K161" s="1384">
        <v>1</v>
      </c>
      <c r="L161" s="378">
        <f t="shared" si="45"/>
        <v>4</v>
      </c>
      <c r="M161" s="386">
        <f t="shared" si="46"/>
        <v>10</v>
      </c>
      <c r="N161" s="377">
        <f t="shared" si="47"/>
        <v>0</v>
      </c>
      <c r="O161" s="377">
        <f t="shared" si="48"/>
        <v>1</v>
      </c>
      <c r="P161" s="1384">
        <f t="shared" si="49"/>
        <v>1</v>
      </c>
      <c r="Q161" s="645">
        <f t="shared" si="50"/>
        <v>12</v>
      </c>
      <c r="R161" s="645">
        <v>4</v>
      </c>
      <c r="S161" s="370"/>
      <c r="T161" s="426"/>
      <c r="U161" s="425"/>
      <c r="V161" s="426"/>
      <c r="W161" s="426"/>
      <c r="X161" s="426"/>
      <c r="Y161" s="426"/>
      <c r="Z161" s="426"/>
      <c r="AA161" s="426"/>
      <c r="AB161" s="426"/>
      <c r="AC161" s="426"/>
      <c r="AD161" s="426"/>
      <c r="AE161" s="426"/>
      <c r="AF161" s="426"/>
      <c r="AG161" s="426"/>
      <c r="AH161" s="426"/>
    </row>
    <row r="162" spans="1:34" ht="15.75" customHeight="1" x14ac:dyDescent="0.35">
      <c r="A162" s="245">
        <v>5</v>
      </c>
      <c r="B162" s="224" t="s">
        <v>18</v>
      </c>
      <c r="C162" s="386">
        <v>8</v>
      </c>
      <c r="D162" s="377">
        <v>0</v>
      </c>
      <c r="E162" s="377">
        <v>1</v>
      </c>
      <c r="F162" s="1384">
        <v>0</v>
      </c>
      <c r="G162" s="1381">
        <f t="shared" si="44"/>
        <v>9</v>
      </c>
      <c r="H162" s="386">
        <v>10</v>
      </c>
      <c r="I162" s="377">
        <v>0</v>
      </c>
      <c r="J162" s="377">
        <v>1</v>
      </c>
      <c r="K162" s="1384">
        <v>0</v>
      </c>
      <c r="L162" s="378">
        <f t="shared" si="45"/>
        <v>11</v>
      </c>
      <c r="M162" s="386">
        <f t="shared" si="46"/>
        <v>18</v>
      </c>
      <c r="N162" s="377">
        <f t="shared" si="47"/>
        <v>0</v>
      </c>
      <c r="O162" s="377">
        <f t="shared" si="48"/>
        <v>2</v>
      </c>
      <c r="P162" s="1384">
        <f t="shared" si="49"/>
        <v>0</v>
      </c>
      <c r="Q162" s="645">
        <f t="shared" si="50"/>
        <v>20</v>
      </c>
      <c r="R162" s="645">
        <v>0</v>
      </c>
      <c r="S162" s="370"/>
      <c r="T162" s="426"/>
      <c r="U162" s="425"/>
      <c r="V162" s="426"/>
      <c r="W162" s="426"/>
      <c r="X162" s="426"/>
      <c r="Y162" s="426"/>
      <c r="Z162" s="426"/>
      <c r="AA162" s="426"/>
      <c r="AB162" s="426"/>
      <c r="AC162" s="426"/>
      <c r="AD162" s="426"/>
      <c r="AE162" s="426"/>
      <c r="AF162" s="426"/>
      <c r="AG162" s="426"/>
      <c r="AH162" s="426"/>
    </row>
    <row r="163" spans="1:34" ht="18.75" customHeight="1" x14ac:dyDescent="0.35">
      <c r="A163" s="247">
        <v>6</v>
      </c>
      <c r="B163" s="226" t="s">
        <v>19</v>
      </c>
      <c r="C163" s="386">
        <v>3</v>
      </c>
      <c r="D163" s="377">
        <v>0</v>
      </c>
      <c r="E163" s="377">
        <v>0</v>
      </c>
      <c r="F163" s="1384">
        <v>0</v>
      </c>
      <c r="G163" s="1381">
        <f t="shared" si="44"/>
        <v>3</v>
      </c>
      <c r="H163" s="386">
        <v>6</v>
      </c>
      <c r="I163" s="377">
        <v>0</v>
      </c>
      <c r="J163" s="377">
        <v>0</v>
      </c>
      <c r="K163" s="1384">
        <v>0</v>
      </c>
      <c r="L163" s="378">
        <f t="shared" si="45"/>
        <v>6</v>
      </c>
      <c r="M163" s="386">
        <f t="shared" si="46"/>
        <v>9</v>
      </c>
      <c r="N163" s="377">
        <f t="shared" si="47"/>
        <v>0</v>
      </c>
      <c r="O163" s="377">
        <f t="shared" si="48"/>
        <v>0</v>
      </c>
      <c r="P163" s="1384">
        <f t="shared" si="49"/>
        <v>0</v>
      </c>
      <c r="Q163" s="645">
        <f t="shared" si="50"/>
        <v>9</v>
      </c>
      <c r="R163" s="645">
        <v>0</v>
      </c>
      <c r="S163" s="370"/>
      <c r="T163" s="426"/>
      <c r="U163" s="425"/>
      <c r="V163" s="426"/>
      <c r="W163" s="426"/>
      <c r="X163" s="426"/>
      <c r="Y163" s="426"/>
      <c r="Z163" s="426"/>
      <c r="AA163" s="426"/>
      <c r="AB163" s="426"/>
      <c r="AC163" s="426"/>
      <c r="AD163" s="426"/>
      <c r="AE163" s="426"/>
      <c r="AF163" s="426"/>
      <c r="AG163" s="426"/>
      <c r="AH163" s="426"/>
    </row>
    <row r="164" spans="1:34" ht="15.75" customHeight="1" x14ac:dyDescent="0.35">
      <c r="A164" s="247">
        <v>7</v>
      </c>
      <c r="B164" s="226" t="s">
        <v>20</v>
      </c>
      <c r="C164" s="386">
        <v>2</v>
      </c>
      <c r="D164" s="377">
        <v>0</v>
      </c>
      <c r="E164" s="377">
        <v>1</v>
      </c>
      <c r="F164" s="1384">
        <v>0</v>
      </c>
      <c r="G164" s="1381">
        <f t="shared" si="44"/>
        <v>3</v>
      </c>
      <c r="H164" s="386">
        <v>6</v>
      </c>
      <c r="I164" s="377">
        <v>0</v>
      </c>
      <c r="J164" s="377">
        <v>3</v>
      </c>
      <c r="K164" s="1384">
        <v>1</v>
      </c>
      <c r="L164" s="378">
        <f t="shared" si="45"/>
        <v>10</v>
      </c>
      <c r="M164" s="386">
        <f t="shared" si="46"/>
        <v>8</v>
      </c>
      <c r="N164" s="377">
        <f t="shared" si="47"/>
        <v>0</v>
      </c>
      <c r="O164" s="377">
        <f t="shared" si="48"/>
        <v>4</v>
      </c>
      <c r="P164" s="1384">
        <f t="shared" si="49"/>
        <v>1</v>
      </c>
      <c r="Q164" s="645">
        <f t="shared" si="50"/>
        <v>13</v>
      </c>
      <c r="R164" s="645">
        <v>0</v>
      </c>
      <c r="S164" s="370"/>
      <c r="T164" s="370"/>
    </row>
    <row r="165" spans="1:34" ht="15.75" customHeight="1" x14ac:dyDescent="0.35">
      <c r="A165" s="245">
        <v>8</v>
      </c>
      <c r="B165" s="224" t="s">
        <v>21</v>
      </c>
      <c r="C165" s="386">
        <v>7</v>
      </c>
      <c r="D165" s="377">
        <v>1</v>
      </c>
      <c r="E165" s="377">
        <v>0</v>
      </c>
      <c r="F165" s="1384">
        <v>0</v>
      </c>
      <c r="G165" s="1381">
        <f t="shared" si="44"/>
        <v>8</v>
      </c>
      <c r="H165" s="386">
        <v>4</v>
      </c>
      <c r="I165" s="377">
        <v>0</v>
      </c>
      <c r="J165" s="377">
        <v>0</v>
      </c>
      <c r="K165" s="1384">
        <v>0</v>
      </c>
      <c r="L165" s="378">
        <f t="shared" si="45"/>
        <v>4</v>
      </c>
      <c r="M165" s="386">
        <f t="shared" si="46"/>
        <v>11</v>
      </c>
      <c r="N165" s="377">
        <f t="shared" si="47"/>
        <v>1</v>
      </c>
      <c r="O165" s="377">
        <f t="shared" si="48"/>
        <v>0</v>
      </c>
      <c r="P165" s="1384">
        <f t="shared" si="49"/>
        <v>0</v>
      </c>
      <c r="Q165" s="645">
        <f t="shared" si="50"/>
        <v>12</v>
      </c>
      <c r="R165" s="645">
        <v>9</v>
      </c>
      <c r="S165" s="370"/>
      <c r="T165" s="426"/>
      <c r="U165" s="425"/>
      <c r="V165" s="426" t="s">
        <v>108</v>
      </c>
      <c r="W165" s="426"/>
      <c r="X165" s="426"/>
      <c r="Y165" s="426"/>
      <c r="Z165" s="426"/>
      <c r="AA165" s="426"/>
      <c r="AB165" s="426"/>
      <c r="AC165" s="426"/>
      <c r="AD165" s="426"/>
      <c r="AE165" s="426"/>
      <c r="AF165" s="426"/>
      <c r="AG165" s="426"/>
      <c r="AH165" s="426"/>
    </row>
    <row r="166" spans="1:34" ht="15.75" customHeight="1" x14ac:dyDescent="0.35">
      <c r="A166" s="245">
        <v>9</v>
      </c>
      <c r="B166" s="224" t="s">
        <v>22</v>
      </c>
      <c r="C166" s="386">
        <v>4</v>
      </c>
      <c r="D166" s="377">
        <v>0</v>
      </c>
      <c r="E166" s="377">
        <v>0</v>
      </c>
      <c r="F166" s="1384">
        <v>0</v>
      </c>
      <c r="G166" s="1381">
        <f t="shared" si="44"/>
        <v>4</v>
      </c>
      <c r="H166" s="386">
        <v>3</v>
      </c>
      <c r="I166" s="377">
        <v>0</v>
      </c>
      <c r="J166" s="377">
        <v>0</v>
      </c>
      <c r="K166" s="1384">
        <v>0</v>
      </c>
      <c r="L166" s="378">
        <f t="shared" si="45"/>
        <v>3</v>
      </c>
      <c r="M166" s="386">
        <f t="shared" si="46"/>
        <v>7</v>
      </c>
      <c r="N166" s="377">
        <f t="shared" si="47"/>
        <v>0</v>
      </c>
      <c r="O166" s="377">
        <f t="shared" si="48"/>
        <v>0</v>
      </c>
      <c r="P166" s="1384">
        <f t="shared" si="49"/>
        <v>0</v>
      </c>
      <c r="Q166" s="645">
        <f t="shared" si="50"/>
        <v>7</v>
      </c>
      <c r="R166" s="645">
        <v>7</v>
      </c>
      <c r="S166" s="370"/>
      <c r="T166" s="370"/>
    </row>
    <row r="167" spans="1:34" ht="15.75" customHeight="1" x14ac:dyDescent="0.35">
      <c r="A167" s="245">
        <v>10</v>
      </c>
      <c r="B167" s="224" t="s">
        <v>23</v>
      </c>
      <c r="C167" s="386">
        <v>2</v>
      </c>
      <c r="D167" s="377">
        <v>1</v>
      </c>
      <c r="E167" s="377">
        <v>0</v>
      </c>
      <c r="F167" s="1384">
        <v>1</v>
      </c>
      <c r="G167" s="1381">
        <f t="shared" si="44"/>
        <v>4</v>
      </c>
      <c r="H167" s="386">
        <v>7</v>
      </c>
      <c r="I167" s="377">
        <v>1</v>
      </c>
      <c r="J167" s="377">
        <v>0</v>
      </c>
      <c r="K167" s="1384">
        <v>0</v>
      </c>
      <c r="L167" s="378">
        <f t="shared" si="45"/>
        <v>8</v>
      </c>
      <c r="M167" s="386">
        <f t="shared" si="46"/>
        <v>9</v>
      </c>
      <c r="N167" s="377">
        <f t="shared" si="47"/>
        <v>2</v>
      </c>
      <c r="O167" s="377">
        <f t="shared" si="48"/>
        <v>0</v>
      </c>
      <c r="P167" s="1384">
        <f t="shared" si="49"/>
        <v>1</v>
      </c>
      <c r="Q167" s="645">
        <f t="shared" si="50"/>
        <v>12</v>
      </c>
      <c r="R167" s="645">
        <v>7</v>
      </c>
      <c r="S167" s="370"/>
      <c r="T167" s="370"/>
    </row>
    <row r="168" spans="1:34" ht="15.75" customHeight="1" x14ac:dyDescent="0.35">
      <c r="A168" s="247">
        <v>11</v>
      </c>
      <c r="B168" s="226" t="s">
        <v>24</v>
      </c>
      <c r="C168" s="386">
        <v>2</v>
      </c>
      <c r="D168" s="377">
        <v>0</v>
      </c>
      <c r="E168" s="377">
        <v>0</v>
      </c>
      <c r="F168" s="1384">
        <v>0</v>
      </c>
      <c r="G168" s="1381">
        <f t="shared" si="44"/>
        <v>2</v>
      </c>
      <c r="H168" s="386">
        <v>6</v>
      </c>
      <c r="I168" s="377">
        <v>0</v>
      </c>
      <c r="J168" s="377">
        <v>0</v>
      </c>
      <c r="K168" s="1384">
        <v>0</v>
      </c>
      <c r="L168" s="378">
        <f t="shared" si="45"/>
        <v>6</v>
      </c>
      <c r="M168" s="386">
        <f t="shared" si="46"/>
        <v>8</v>
      </c>
      <c r="N168" s="377">
        <f t="shared" si="47"/>
        <v>0</v>
      </c>
      <c r="O168" s="377">
        <f t="shared" si="48"/>
        <v>0</v>
      </c>
      <c r="P168" s="1384">
        <f t="shared" si="49"/>
        <v>0</v>
      </c>
      <c r="Q168" s="645">
        <f t="shared" si="50"/>
        <v>8</v>
      </c>
      <c r="R168" s="645">
        <v>1</v>
      </c>
      <c r="S168" s="370"/>
      <c r="T168" s="370"/>
    </row>
    <row r="169" spans="1:34" ht="15.75" customHeight="1" x14ac:dyDescent="0.35">
      <c r="A169" s="245">
        <v>12</v>
      </c>
      <c r="B169" s="224" t="s">
        <v>25</v>
      </c>
      <c r="C169" s="386">
        <v>0</v>
      </c>
      <c r="D169" s="377">
        <v>1</v>
      </c>
      <c r="E169" s="377">
        <v>1</v>
      </c>
      <c r="F169" s="1384">
        <v>0</v>
      </c>
      <c r="G169" s="1381">
        <f t="shared" si="44"/>
        <v>2</v>
      </c>
      <c r="H169" s="386">
        <v>1</v>
      </c>
      <c r="I169" s="377">
        <v>0</v>
      </c>
      <c r="J169" s="377">
        <v>0</v>
      </c>
      <c r="K169" s="1384">
        <v>0</v>
      </c>
      <c r="L169" s="378">
        <f t="shared" si="45"/>
        <v>1</v>
      </c>
      <c r="M169" s="386">
        <f t="shared" si="46"/>
        <v>1</v>
      </c>
      <c r="N169" s="377">
        <f t="shared" si="47"/>
        <v>1</v>
      </c>
      <c r="O169" s="377">
        <f t="shared" si="48"/>
        <v>1</v>
      </c>
      <c r="P169" s="1384">
        <f t="shared" si="49"/>
        <v>0</v>
      </c>
      <c r="Q169" s="645">
        <f t="shared" si="50"/>
        <v>3</v>
      </c>
      <c r="R169" s="645">
        <v>1</v>
      </c>
      <c r="S169" s="370"/>
      <c r="T169" s="370"/>
    </row>
    <row r="170" spans="1:34" ht="15.75" customHeight="1" x14ac:dyDescent="0.35">
      <c r="A170" s="245">
        <v>13</v>
      </c>
      <c r="B170" s="224" t="s">
        <v>26</v>
      </c>
      <c r="C170" s="386">
        <v>8</v>
      </c>
      <c r="D170" s="377">
        <v>0</v>
      </c>
      <c r="E170" s="377">
        <v>0</v>
      </c>
      <c r="F170" s="1384">
        <v>0</v>
      </c>
      <c r="G170" s="1381">
        <f t="shared" si="44"/>
        <v>8</v>
      </c>
      <c r="H170" s="386">
        <v>9</v>
      </c>
      <c r="I170" s="377">
        <v>0</v>
      </c>
      <c r="J170" s="377">
        <v>0</v>
      </c>
      <c r="K170" s="1384">
        <v>0</v>
      </c>
      <c r="L170" s="378">
        <f t="shared" si="45"/>
        <v>9</v>
      </c>
      <c r="M170" s="386">
        <f t="shared" si="46"/>
        <v>17</v>
      </c>
      <c r="N170" s="377">
        <f t="shared" si="47"/>
        <v>0</v>
      </c>
      <c r="O170" s="377">
        <f t="shared" si="48"/>
        <v>0</v>
      </c>
      <c r="P170" s="1384">
        <f t="shared" si="49"/>
        <v>0</v>
      </c>
      <c r="Q170" s="645">
        <f t="shared" si="50"/>
        <v>17</v>
      </c>
      <c r="R170" s="645">
        <v>5</v>
      </c>
      <c r="S170" s="370"/>
      <c r="T170" s="370"/>
    </row>
    <row r="171" spans="1:34" ht="15.75" customHeight="1" x14ac:dyDescent="0.35">
      <c r="A171" s="245">
        <v>14</v>
      </c>
      <c r="B171" s="224" t="s">
        <v>27</v>
      </c>
      <c r="C171" s="386">
        <v>4</v>
      </c>
      <c r="D171" s="377">
        <v>0</v>
      </c>
      <c r="E171" s="377">
        <v>0</v>
      </c>
      <c r="F171" s="1384">
        <v>0</v>
      </c>
      <c r="G171" s="1381">
        <f t="shared" si="44"/>
        <v>4</v>
      </c>
      <c r="H171" s="386">
        <v>2</v>
      </c>
      <c r="I171" s="377">
        <v>0</v>
      </c>
      <c r="J171" s="377">
        <v>0</v>
      </c>
      <c r="K171" s="1384">
        <v>0</v>
      </c>
      <c r="L171" s="378">
        <f t="shared" si="45"/>
        <v>2</v>
      </c>
      <c r="M171" s="386">
        <f t="shared" si="46"/>
        <v>6</v>
      </c>
      <c r="N171" s="377">
        <f t="shared" si="47"/>
        <v>0</v>
      </c>
      <c r="O171" s="377">
        <f t="shared" si="48"/>
        <v>0</v>
      </c>
      <c r="P171" s="1384">
        <f t="shared" si="49"/>
        <v>0</v>
      </c>
      <c r="Q171" s="645">
        <f t="shared" si="50"/>
        <v>6</v>
      </c>
      <c r="R171" s="645">
        <v>0</v>
      </c>
      <c r="S171" s="370"/>
      <c r="T171" s="370"/>
    </row>
    <row r="172" spans="1:34" ht="30.75" customHeight="1" thickBot="1" x14ac:dyDescent="0.4">
      <c r="A172" s="248">
        <v>15</v>
      </c>
      <c r="B172" s="227" t="s">
        <v>28</v>
      </c>
      <c r="C172" s="389">
        <v>3</v>
      </c>
      <c r="D172" s="390">
        <v>0</v>
      </c>
      <c r="E172" s="390">
        <v>0</v>
      </c>
      <c r="F172" s="1385">
        <v>0</v>
      </c>
      <c r="G172" s="1382">
        <f t="shared" si="44"/>
        <v>3</v>
      </c>
      <c r="H172" s="389">
        <v>1</v>
      </c>
      <c r="I172" s="390">
        <v>0</v>
      </c>
      <c r="J172" s="390">
        <v>0</v>
      </c>
      <c r="K172" s="1385">
        <v>0</v>
      </c>
      <c r="L172" s="380">
        <f t="shared" si="45"/>
        <v>1</v>
      </c>
      <c r="M172" s="389">
        <f t="shared" si="46"/>
        <v>4</v>
      </c>
      <c r="N172" s="390">
        <f t="shared" si="47"/>
        <v>0</v>
      </c>
      <c r="O172" s="390">
        <f t="shared" si="48"/>
        <v>0</v>
      </c>
      <c r="P172" s="1385">
        <f t="shared" si="49"/>
        <v>0</v>
      </c>
      <c r="Q172" s="646">
        <f t="shared" si="50"/>
        <v>4</v>
      </c>
      <c r="R172" s="646">
        <v>0</v>
      </c>
      <c r="S172" s="370"/>
      <c r="T172" s="370"/>
    </row>
    <row r="173" spans="1:34" s="418" customFormat="1" ht="23.25" customHeight="1" x14ac:dyDescent="0.35">
      <c r="A173" s="320"/>
      <c r="B173" s="321" t="s">
        <v>543</v>
      </c>
      <c r="C173" s="322">
        <f t="shared" ref="C173:R173" si="51">SUM(C158:C172)</f>
        <v>73</v>
      </c>
      <c r="D173" s="323">
        <f t="shared" si="51"/>
        <v>5</v>
      </c>
      <c r="E173" s="323">
        <f t="shared" si="51"/>
        <v>4</v>
      </c>
      <c r="F173" s="323">
        <f t="shared" si="51"/>
        <v>2</v>
      </c>
      <c r="G173" s="324">
        <f t="shared" si="51"/>
        <v>84</v>
      </c>
      <c r="H173" s="322">
        <f t="shared" si="51"/>
        <v>107</v>
      </c>
      <c r="I173" s="323">
        <f t="shared" si="51"/>
        <v>2</v>
      </c>
      <c r="J173" s="323">
        <f t="shared" si="51"/>
        <v>5</v>
      </c>
      <c r="K173" s="323">
        <f t="shared" si="51"/>
        <v>3</v>
      </c>
      <c r="L173" s="324">
        <f t="shared" si="51"/>
        <v>117</v>
      </c>
      <c r="M173" s="322">
        <f t="shared" si="51"/>
        <v>180</v>
      </c>
      <c r="N173" s="323">
        <f t="shared" si="51"/>
        <v>7</v>
      </c>
      <c r="O173" s="323">
        <f t="shared" si="51"/>
        <v>9</v>
      </c>
      <c r="P173" s="323">
        <f t="shared" si="51"/>
        <v>5</v>
      </c>
      <c r="Q173" s="324">
        <f t="shared" si="51"/>
        <v>201</v>
      </c>
      <c r="R173" s="325">
        <f t="shared" si="51"/>
        <v>64</v>
      </c>
      <c r="S173" s="326"/>
      <c r="T173" s="326"/>
    </row>
    <row r="174" spans="1:34" s="418" customFormat="1" ht="23.25" customHeight="1" x14ac:dyDescent="0.35">
      <c r="A174" s="1374"/>
      <c r="B174" s="226" t="s">
        <v>454</v>
      </c>
      <c r="C174" s="1375">
        <v>60</v>
      </c>
      <c r="D174" s="1376">
        <v>3</v>
      </c>
      <c r="E174" s="1376">
        <v>3</v>
      </c>
      <c r="F174" s="1376">
        <v>4</v>
      </c>
      <c r="G174" s="1377">
        <v>70</v>
      </c>
      <c r="H174" s="1375">
        <v>92</v>
      </c>
      <c r="I174" s="1376">
        <v>3</v>
      </c>
      <c r="J174" s="1376">
        <v>3</v>
      </c>
      <c r="K174" s="1376">
        <v>1</v>
      </c>
      <c r="L174" s="1378">
        <v>99</v>
      </c>
      <c r="M174" s="1375">
        <v>152</v>
      </c>
      <c r="N174" s="1376">
        <v>6</v>
      </c>
      <c r="O174" s="1376">
        <v>6</v>
      </c>
      <c r="P174" s="1376">
        <v>5</v>
      </c>
      <c r="Q174" s="379">
        <v>169</v>
      </c>
      <c r="R174" s="526">
        <v>88</v>
      </c>
      <c r="S174" s="326"/>
      <c r="T174" s="326"/>
    </row>
    <row r="175" spans="1:34" ht="15.75" customHeight="1" x14ac:dyDescent="0.35">
      <c r="A175" s="223"/>
      <c r="B175" s="224" t="s">
        <v>414</v>
      </c>
      <c r="C175" s="376">
        <v>66</v>
      </c>
      <c r="D175" s="377">
        <v>8</v>
      </c>
      <c r="E175" s="377">
        <v>5</v>
      </c>
      <c r="F175" s="377">
        <v>4</v>
      </c>
      <c r="G175" s="379">
        <v>83</v>
      </c>
      <c r="H175" s="376">
        <v>104</v>
      </c>
      <c r="I175" s="377">
        <v>5</v>
      </c>
      <c r="J175" s="377">
        <v>7</v>
      </c>
      <c r="K175" s="377">
        <v>2</v>
      </c>
      <c r="L175" s="378">
        <v>118</v>
      </c>
      <c r="M175" s="376">
        <v>170</v>
      </c>
      <c r="N175" s="377">
        <v>13</v>
      </c>
      <c r="O175" s="377">
        <v>12</v>
      </c>
      <c r="P175" s="377">
        <v>6</v>
      </c>
      <c r="Q175" s="379">
        <v>201</v>
      </c>
      <c r="R175" s="526">
        <v>88</v>
      </c>
      <c r="S175" s="370"/>
      <c r="T175" s="370"/>
    </row>
    <row r="176" spans="1:34" ht="15.75" customHeight="1" x14ac:dyDescent="0.35">
      <c r="A176" s="223"/>
      <c r="B176" s="224" t="s">
        <v>366</v>
      </c>
      <c r="C176" s="376">
        <v>80</v>
      </c>
      <c r="D176" s="377">
        <v>4</v>
      </c>
      <c r="E176" s="377">
        <v>5</v>
      </c>
      <c r="F176" s="377">
        <v>2</v>
      </c>
      <c r="G176" s="379">
        <v>91</v>
      </c>
      <c r="H176" s="376">
        <v>109</v>
      </c>
      <c r="I176" s="377">
        <v>8</v>
      </c>
      <c r="J176" s="377">
        <v>2</v>
      </c>
      <c r="K176" s="377">
        <v>7</v>
      </c>
      <c r="L176" s="378">
        <v>126</v>
      </c>
      <c r="M176" s="376">
        <v>189</v>
      </c>
      <c r="N176" s="377">
        <v>12</v>
      </c>
      <c r="O176" s="377">
        <v>7</v>
      </c>
      <c r="P176" s="377">
        <v>9</v>
      </c>
      <c r="Q176" s="379">
        <v>217</v>
      </c>
      <c r="R176" s="526">
        <v>79</v>
      </c>
      <c r="S176" s="370"/>
      <c r="T176" s="370"/>
    </row>
    <row r="177" spans="1:34" ht="15.75" customHeight="1" x14ac:dyDescent="0.35">
      <c r="A177" s="223"/>
      <c r="B177" s="224" t="s">
        <v>333</v>
      </c>
      <c r="C177" s="376">
        <v>84</v>
      </c>
      <c r="D177" s="377">
        <v>5</v>
      </c>
      <c r="E177" s="377">
        <v>1</v>
      </c>
      <c r="F177" s="377">
        <v>2</v>
      </c>
      <c r="G177" s="379">
        <v>92</v>
      </c>
      <c r="H177" s="376">
        <v>118</v>
      </c>
      <c r="I177" s="377">
        <v>11</v>
      </c>
      <c r="J177" s="377">
        <v>3</v>
      </c>
      <c r="K177" s="377">
        <v>3</v>
      </c>
      <c r="L177" s="378">
        <v>135</v>
      </c>
      <c r="M177" s="376">
        <v>202</v>
      </c>
      <c r="N177" s="377">
        <v>16</v>
      </c>
      <c r="O177" s="377">
        <v>4</v>
      </c>
      <c r="P177" s="377">
        <v>5</v>
      </c>
      <c r="Q177" s="379">
        <v>227</v>
      </c>
      <c r="R177" s="526">
        <v>84</v>
      </c>
      <c r="S177" s="370"/>
      <c r="T177" s="370"/>
    </row>
    <row r="178" spans="1:34" ht="15.75" customHeight="1" x14ac:dyDescent="0.35">
      <c r="A178" s="223"/>
      <c r="B178" s="224" t="s">
        <v>298</v>
      </c>
      <c r="C178" s="376">
        <v>92</v>
      </c>
      <c r="D178" s="377">
        <v>4</v>
      </c>
      <c r="E178" s="377">
        <v>3</v>
      </c>
      <c r="F178" s="377">
        <v>3</v>
      </c>
      <c r="G178" s="379">
        <v>102</v>
      </c>
      <c r="H178" s="376">
        <v>111</v>
      </c>
      <c r="I178" s="377">
        <v>13</v>
      </c>
      <c r="J178" s="377">
        <v>1</v>
      </c>
      <c r="K178" s="377">
        <v>2</v>
      </c>
      <c r="L178" s="378">
        <v>127</v>
      </c>
      <c r="M178" s="376">
        <v>203</v>
      </c>
      <c r="N178" s="377">
        <v>17</v>
      </c>
      <c r="O178" s="377">
        <v>4</v>
      </c>
      <c r="P178" s="377">
        <v>5</v>
      </c>
      <c r="Q178" s="379">
        <v>229</v>
      </c>
      <c r="R178" s="526">
        <v>75</v>
      </c>
      <c r="S178" s="370"/>
      <c r="T178" s="370"/>
    </row>
    <row r="179" spans="1:34" ht="15.75" customHeight="1" thickBot="1" x14ac:dyDescent="0.4">
      <c r="A179" s="338"/>
      <c r="B179" s="339" t="s">
        <v>132</v>
      </c>
      <c r="C179" s="340">
        <v>97</v>
      </c>
      <c r="D179" s="390">
        <v>6</v>
      </c>
      <c r="E179" s="390">
        <v>2</v>
      </c>
      <c r="F179" s="390">
        <v>2</v>
      </c>
      <c r="G179" s="391">
        <v>107</v>
      </c>
      <c r="H179" s="340">
        <v>115</v>
      </c>
      <c r="I179" s="390">
        <v>8</v>
      </c>
      <c r="J179" s="390">
        <v>3</v>
      </c>
      <c r="K179" s="390">
        <v>3</v>
      </c>
      <c r="L179" s="797">
        <v>129</v>
      </c>
      <c r="M179" s="340">
        <v>212</v>
      </c>
      <c r="N179" s="390">
        <v>14</v>
      </c>
      <c r="O179" s="390">
        <v>5</v>
      </c>
      <c r="P179" s="390">
        <v>5</v>
      </c>
      <c r="Q179" s="391">
        <v>236</v>
      </c>
      <c r="R179" s="527">
        <v>70</v>
      </c>
      <c r="S179" s="370"/>
      <c r="T179" s="370"/>
    </row>
    <row r="180" spans="1:34" ht="15.75" customHeight="1" x14ac:dyDescent="0.35">
      <c r="A180" s="216" t="s">
        <v>70</v>
      </c>
    </row>
    <row r="183" spans="1:34" s="217" customFormat="1" ht="48" customHeight="1" thickBot="1" x14ac:dyDescent="0.35">
      <c r="A183" s="185" t="s">
        <v>588</v>
      </c>
    </row>
    <row r="184" spans="1:34" s="219" customFormat="1" ht="24.75" customHeight="1" thickBot="1" x14ac:dyDescent="0.4">
      <c r="A184" s="237"/>
      <c r="B184" s="238"/>
      <c r="C184" s="1696" t="s">
        <v>63</v>
      </c>
      <c r="D184" s="1697"/>
      <c r="E184" s="1697"/>
      <c r="F184" s="1697"/>
      <c r="G184" s="1698"/>
      <c r="H184" s="1696" t="s">
        <v>64</v>
      </c>
      <c r="I184" s="1697"/>
      <c r="J184" s="1697"/>
      <c r="K184" s="1697"/>
      <c r="L184" s="1698"/>
      <c r="M184" s="1696" t="s">
        <v>65</v>
      </c>
      <c r="N184" s="1697"/>
      <c r="O184" s="1697"/>
      <c r="P184" s="1697"/>
      <c r="Q184" s="1697"/>
      <c r="R184" s="1698"/>
    </row>
    <row r="185" spans="1:34" s="219" customFormat="1" ht="81" customHeight="1" thickBot="1" x14ac:dyDescent="0.4">
      <c r="A185" s="239" t="s">
        <v>2</v>
      </c>
      <c r="B185" s="220" t="s">
        <v>3</v>
      </c>
      <c r="C185" s="269" t="s">
        <v>66</v>
      </c>
      <c r="D185" s="266" t="s">
        <v>296</v>
      </c>
      <c r="E185" s="266" t="s">
        <v>297</v>
      </c>
      <c r="F185" s="266" t="s">
        <v>67</v>
      </c>
      <c r="G185" s="296" t="s">
        <v>68</v>
      </c>
      <c r="H185" s="286" t="s">
        <v>66</v>
      </c>
      <c r="I185" s="266" t="s">
        <v>296</v>
      </c>
      <c r="J185" s="266" t="s">
        <v>297</v>
      </c>
      <c r="K185" s="266" t="s">
        <v>67</v>
      </c>
      <c r="L185" s="296" t="s">
        <v>13</v>
      </c>
      <c r="M185" s="286" t="s">
        <v>66</v>
      </c>
      <c r="N185" s="266" t="s">
        <v>296</v>
      </c>
      <c r="O185" s="266" t="s">
        <v>297</v>
      </c>
      <c r="P185" s="266" t="s">
        <v>67</v>
      </c>
      <c r="Q185" s="296" t="s">
        <v>13</v>
      </c>
      <c r="R185" s="399" t="s">
        <v>69</v>
      </c>
    </row>
    <row r="186" spans="1:34" ht="18" customHeight="1" x14ac:dyDescent="0.35">
      <c r="A186" s="243">
        <v>1</v>
      </c>
      <c r="B186" s="222" t="s">
        <v>14</v>
      </c>
      <c r="C186" s="801">
        <v>7</v>
      </c>
      <c r="D186" s="802">
        <v>0</v>
      </c>
      <c r="E186" s="802">
        <v>0</v>
      </c>
      <c r="F186" s="1383">
        <v>0</v>
      </c>
      <c r="G186" s="375">
        <f t="shared" ref="G186:G200" si="52">SUM(C186:F186)</f>
        <v>7</v>
      </c>
      <c r="H186" s="801">
        <v>18</v>
      </c>
      <c r="I186" s="802">
        <v>1</v>
      </c>
      <c r="J186" s="802">
        <v>0</v>
      </c>
      <c r="K186" s="1383">
        <v>0</v>
      </c>
      <c r="L186" s="375">
        <f t="shared" ref="L186:L200" si="53">SUM(H186:K186)</f>
        <v>19</v>
      </c>
      <c r="M186" s="801">
        <f t="shared" ref="M186:M200" si="54">C186+H186</f>
        <v>25</v>
      </c>
      <c r="N186" s="802">
        <f t="shared" ref="N186:N200" si="55">D186+I186</f>
        <v>1</v>
      </c>
      <c r="O186" s="802">
        <f t="shared" ref="O186:O200" si="56">E186+J186</f>
        <v>0</v>
      </c>
      <c r="P186" s="1383">
        <f t="shared" ref="P186:P200" si="57">F186+K186</f>
        <v>0</v>
      </c>
      <c r="Q186" s="644">
        <f t="shared" ref="Q186:Q200" si="58">SUM(M186:P186)</f>
        <v>26</v>
      </c>
      <c r="R186" s="644">
        <v>23</v>
      </c>
      <c r="S186" s="370"/>
      <c r="T186" s="370"/>
    </row>
    <row r="187" spans="1:34" ht="15.75" customHeight="1" x14ac:dyDescent="0.35">
      <c r="A187" s="245">
        <v>2</v>
      </c>
      <c r="B187" s="224" t="s">
        <v>15</v>
      </c>
      <c r="C187" s="386">
        <v>7</v>
      </c>
      <c r="D187" s="377">
        <v>0</v>
      </c>
      <c r="E187" s="377">
        <v>0</v>
      </c>
      <c r="F187" s="1384">
        <v>0</v>
      </c>
      <c r="G187" s="379">
        <f t="shared" si="52"/>
        <v>7</v>
      </c>
      <c r="H187" s="386">
        <v>14</v>
      </c>
      <c r="I187" s="377">
        <v>0</v>
      </c>
      <c r="J187" s="377">
        <v>0</v>
      </c>
      <c r="K187" s="1384">
        <v>0</v>
      </c>
      <c r="L187" s="379">
        <f t="shared" si="53"/>
        <v>14</v>
      </c>
      <c r="M187" s="386">
        <f t="shared" si="54"/>
        <v>21</v>
      </c>
      <c r="N187" s="377">
        <f t="shared" si="55"/>
        <v>0</v>
      </c>
      <c r="O187" s="377">
        <f t="shared" si="56"/>
        <v>0</v>
      </c>
      <c r="P187" s="1384">
        <f t="shared" si="57"/>
        <v>0</v>
      </c>
      <c r="Q187" s="645">
        <f t="shared" si="58"/>
        <v>21</v>
      </c>
      <c r="R187" s="645">
        <v>0</v>
      </c>
      <c r="S187" s="370"/>
      <c r="T187" s="400"/>
    </row>
    <row r="188" spans="1:34" ht="15.75" customHeight="1" x14ac:dyDescent="0.35">
      <c r="A188" s="245">
        <v>3</v>
      </c>
      <c r="B188" s="224" t="s">
        <v>16</v>
      </c>
      <c r="C188" s="386">
        <v>17</v>
      </c>
      <c r="D188" s="377">
        <v>1</v>
      </c>
      <c r="E188" s="377">
        <v>0</v>
      </c>
      <c r="F188" s="1384">
        <v>2</v>
      </c>
      <c r="G188" s="379">
        <f t="shared" si="52"/>
        <v>20</v>
      </c>
      <c r="H188" s="386">
        <v>20</v>
      </c>
      <c r="I188" s="377">
        <v>0</v>
      </c>
      <c r="J188" s="377">
        <v>0</v>
      </c>
      <c r="K188" s="1384">
        <v>1</v>
      </c>
      <c r="L188" s="379">
        <f t="shared" si="53"/>
        <v>21</v>
      </c>
      <c r="M188" s="386">
        <f t="shared" si="54"/>
        <v>37</v>
      </c>
      <c r="N188" s="377">
        <f t="shared" si="55"/>
        <v>1</v>
      </c>
      <c r="O188" s="377">
        <f t="shared" si="56"/>
        <v>0</v>
      </c>
      <c r="P188" s="1384">
        <f t="shared" si="57"/>
        <v>3</v>
      </c>
      <c r="Q188" s="645">
        <f t="shared" si="58"/>
        <v>41</v>
      </c>
      <c r="R188" s="645">
        <v>16</v>
      </c>
      <c r="S188" s="370"/>
      <c r="T188" s="426"/>
      <c r="U188" s="425"/>
      <c r="V188" s="426"/>
      <c r="W188" s="426"/>
      <c r="X188" s="426"/>
      <c r="Y188" s="426"/>
      <c r="Z188" s="426"/>
      <c r="AA188" s="426"/>
      <c r="AB188" s="426"/>
      <c r="AC188" s="426"/>
      <c r="AD188" s="426"/>
      <c r="AE188" s="426"/>
      <c r="AF188" s="426"/>
      <c r="AG188" s="426"/>
      <c r="AH188" s="426"/>
    </row>
    <row r="189" spans="1:34" ht="15.75" customHeight="1" x14ac:dyDescent="0.35">
      <c r="A189" s="245">
        <v>4</v>
      </c>
      <c r="B189" s="224" t="s">
        <v>17</v>
      </c>
      <c r="C189" s="386">
        <v>5</v>
      </c>
      <c r="D189" s="377">
        <v>0</v>
      </c>
      <c r="E189" s="377">
        <v>0</v>
      </c>
      <c r="F189" s="1384">
        <v>0</v>
      </c>
      <c r="G189" s="379">
        <f t="shared" si="52"/>
        <v>5</v>
      </c>
      <c r="H189" s="386">
        <v>12</v>
      </c>
      <c r="I189" s="377">
        <v>0</v>
      </c>
      <c r="J189" s="377">
        <v>0</v>
      </c>
      <c r="K189" s="1384">
        <v>0</v>
      </c>
      <c r="L189" s="379">
        <f t="shared" si="53"/>
        <v>12</v>
      </c>
      <c r="M189" s="386">
        <f t="shared" si="54"/>
        <v>17</v>
      </c>
      <c r="N189" s="377">
        <f t="shared" si="55"/>
        <v>0</v>
      </c>
      <c r="O189" s="377">
        <f t="shared" si="56"/>
        <v>0</v>
      </c>
      <c r="P189" s="1384">
        <f t="shared" si="57"/>
        <v>0</v>
      </c>
      <c r="Q189" s="645">
        <f t="shared" si="58"/>
        <v>17</v>
      </c>
      <c r="R189" s="645">
        <v>6</v>
      </c>
      <c r="S189" s="370"/>
      <c r="T189" s="426"/>
      <c r="U189" s="425"/>
      <c r="V189" s="426"/>
      <c r="W189" s="426"/>
      <c r="X189" s="426"/>
      <c r="Y189" s="426"/>
      <c r="Z189" s="426"/>
      <c r="AA189" s="426"/>
      <c r="AB189" s="426"/>
      <c r="AC189" s="426"/>
      <c r="AD189" s="426"/>
      <c r="AE189" s="426"/>
      <c r="AF189" s="426"/>
      <c r="AG189" s="426"/>
      <c r="AH189" s="426"/>
    </row>
    <row r="190" spans="1:34" ht="15.75" customHeight="1" x14ac:dyDescent="0.35">
      <c r="A190" s="245">
        <v>5</v>
      </c>
      <c r="B190" s="224" t="s">
        <v>18</v>
      </c>
      <c r="C190" s="386">
        <v>5</v>
      </c>
      <c r="D190" s="377">
        <v>0</v>
      </c>
      <c r="E190" s="377">
        <v>0</v>
      </c>
      <c r="F190" s="1384">
        <v>0</v>
      </c>
      <c r="G190" s="379">
        <f t="shared" si="52"/>
        <v>5</v>
      </c>
      <c r="H190" s="386">
        <v>8</v>
      </c>
      <c r="I190" s="377">
        <v>0</v>
      </c>
      <c r="J190" s="377">
        <v>0</v>
      </c>
      <c r="K190" s="1384">
        <v>1</v>
      </c>
      <c r="L190" s="379">
        <f t="shared" si="53"/>
        <v>9</v>
      </c>
      <c r="M190" s="386">
        <f t="shared" si="54"/>
        <v>13</v>
      </c>
      <c r="N190" s="377">
        <f t="shared" si="55"/>
        <v>0</v>
      </c>
      <c r="O190" s="377">
        <f t="shared" si="56"/>
        <v>0</v>
      </c>
      <c r="P190" s="1384">
        <f t="shared" si="57"/>
        <v>1</v>
      </c>
      <c r="Q190" s="645">
        <f t="shared" si="58"/>
        <v>14</v>
      </c>
      <c r="R190" s="645">
        <v>0</v>
      </c>
      <c r="S190" s="370"/>
      <c r="T190" s="426"/>
      <c r="U190" s="425"/>
      <c r="V190" s="426"/>
      <c r="W190" s="426"/>
      <c r="X190" s="426"/>
      <c r="Y190" s="426"/>
      <c r="Z190" s="426"/>
      <c r="AA190" s="426"/>
      <c r="AB190" s="426"/>
      <c r="AC190" s="426"/>
      <c r="AD190" s="426"/>
      <c r="AE190" s="426"/>
      <c r="AF190" s="426"/>
      <c r="AG190" s="426"/>
      <c r="AH190" s="426"/>
    </row>
    <row r="191" spans="1:34" ht="15.75" customHeight="1" x14ac:dyDescent="0.35">
      <c r="A191" s="247">
        <v>6</v>
      </c>
      <c r="B191" s="226" t="s">
        <v>19</v>
      </c>
      <c r="C191" s="386">
        <v>3</v>
      </c>
      <c r="D191" s="377">
        <v>0</v>
      </c>
      <c r="E191" s="377">
        <v>0</v>
      </c>
      <c r="F191" s="1384">
        <v>1</v>
      </c>
      <c r="G191" s="379">
        <f t="shared" si="52"/>
        <v>4</v>
      </c>
      <c r="H191" s="386">
        <v>6</v>
      </c>
      <c r="I191" s="377">
        <v>0</v>
      </c>
      <c r="J191" s="377">
        <v>0</v>
      </c>
      <c r="K191" s="1384">
        <v>0</v>
      </c>
      <c r="L191" s="379">
        <f t="shared" si="53"/>
        <v>6</v>
      </c>
      <c r="M191" s="386">
        <f t="shared" si="54"/>
        <v>9</v>
      </c>
      <c r="N191" s="377">
        <f t="shared" si="55"/>
        <v>0</v>
      </c>
      <c r="O191" s="377">
        <f t="shared" si="56"/>
        <v>0</v>
      </c>
      <c r="P191" s="1384">
        <f t="shared" si="57"/>
        <v>1</v>
      </c>
      <c r="Q191" s="645">
        <f t="shared" si="58"/>
        <v>10</v>
      </c>
      <c r="R191" s="645">
        <v>0</v>
      </c>
      <c r="S191" s="370"/>
      <c r="T191" s="426"/>
      <c r="U191" s="425"/>
      <c r="V191" s="426"/>
      <c r="W191" s="426"/>
      <c r="X191" s="426"/>
      <c r="Y191" s="426"/>
      <c r="Z191" s="426"/>
      <c r="AA191" s="426"/>
      <c r="AB191" s="426"/>
      <c r="AC191" s="426"/>
      <c r="AD191" s="426"/>
      <c r="AE191" s="426"/>
      <c r="AF191" s="426"/>
      <c r="AG191" s="426"/>
      <c r="AH191" s="426"/>
    </row>
    <row r="192" spans="1:34" ht="21.75" customHeight="1" x14ac:dyDescent="0.35">
      <c r="A192" s="247">
        <v>7</v>
      </c>
      <c r="B192" s="226" t="s">
        <v>20</v>
      </c>
      <c r="C192" s="386">
        <v>3</v>
      </c>
      <c r="D192" s="377">
        <v>0</v>
      </c>
      <c r="E192" s="377">
        <v>0</v>
      </c>
      <c r="F192" s="1384">
        <v>0</v>
      </c>
      <c r="G192" s="379">
        <f t="shared" si="52"/>
        <v>3</v>
      </c>
      <c r="H192" s="386">
        <v>6</v>
      </c>
      <c r="I192" s="377">
        <v>0</v>
      </c>
      <c r="J192" s="377">
        <v>0</v>
      </c>
      <c r="K192" s="1384">
        <v>0</v>
      </c>
      <c r="L192" s="379">
        <f t="shared" si="53"/>
        <v>6</v>
      </c>
      <c r="M192" s="386">
        <f t="shared" si="54"/>
        <v>9</v>
      </c>
      <c r="N192" s="377">
        <f t="shared" si="55"/>
        <v>0</v>
      </c>
      <c r="O192" s="377">
        <f t="shared" si="56"/>
        <v>0</v>
      </c>
      <c r="P192" s="1384">
        <f t="shared" si="57"/>
        <v>0</v>
      </c>
      <c r="Q192" s="645">
        <f t="shared" si="58"/>
        <v>9</v>
      </c>
      <c r="R192" s="645">
        <v>0</v>
      </c>
      <c r="S192" s="370"/>
      <c r="T192" s="370"/>
      <c r="X192" s="368" t="s">
        <v>108</v>
      </c>
    </row>
    <row r="193" spans="1:34" ht="15.75" customHeight="1" x14ac:dyDescent="0.35">
      <c r="A193" s="245">
        <v>8</v>
      </c>
      <c r="B193" s="224" t="s">
        <v>21</v>
      </c>
      <c r="C193" s="386">
        <v>9</v>
      </c>
      <c r="D193" s="377">
        <v>2</v>
      </c>
      <c r="E193" s="377">
        <v>0</v>
      </c>
      <c r="F193" s="1384">
        <v>0</v>
      </c>
      <c r="G193" s="379">
        <f t="shared" si="52"/>
        <v>11</v>
      </c>
      <c r="H193" s="386">
        <v>10</v>
      </c>
      <c r="I193" s="377">
        <v>0</v>
      </c>
      <c r="J193" s="377">
        <v>0</v>
      </c>
      <c r="K193" s="1384">
        <v>0</v>
      </c>
      <c r="L193" s="379">
        <f t="shared" si="53"/>
        <v>10</v>
      </c>
      <c r="M193" s="386">
        <f t="shared" si="54"/>
        <v>19</v>
      </c>
      <c r="N193" s="377">
        <f t="shared" si="55"/>
        <v>2</v>
      </c>
      <c r="O193" s="377">
        <f t="shared" si="56"/>
        <v>0</v>
      </c>
      <c r="P193" s="1384">
        <f t="shared" si="57"/>
        <v>0</v>
      </c>
      <c r="Q193" s="645">
        <f t="shared" si="58"/>
        <v>21</v>
      </c>
      <c r="R193" s="645">
        <v>16</v>
      </c>
      <c r="S193" s="370"/>
      <c r="T193" s="426"/>
      <c r="U193" s="425"/>
      <c r="V193" s="426"/>
      <c r="W193" s="426"/>
      <c r="X193" s="426"/>
      <c r="Y193" s="426"/>
      <c r="Z193" s="426"/>
      <c r="AA193" s="426"/>
      <c r="AB193" s="426"/>
      <c r="AC193" s="426"/>
      <c r="AD193" s="426"/>
      <c r="AE193" s="426"/>
      <c r="AF193" s="426"/>
      <c r="AG193" s="426"/>
      <c r="AH193" s="426"/>
    </row>
    <row r="194" spans="1:34" ht="15.75" customHeight="1" x14ac:dyDescent="0.35">
      <c r="A194" s="245">
        <v>9</v>
      </c>
      <c r="B194" s="224" t="s">
        <v>22</v>
      </c>
      <c r="C194" s="386">
        <v>6</v>
      </c>
      <c r="D194" s="377">
        <v>0</v>
      </c>
      <c r="E194" s="377">
        <v>0</v>
      </c>
      <c r="F194" s="1384">
        <v>0</v>
      </c>
      <c r="G194" s="379">
        <f t="shared" si="52"/>
        <v>6</v>
      </c>
      <c r="H194" s="386">
        <v>11</v>
      </c>
      <c r="I194" s="377">
        <v>0</v>
      </c>
      <c r="J194" s="377">
        <v>1</v>
      </c>
      <c r="K194" s="1384">
        <v>0</v>
      </c>
      <c r="L194" s="379">
        <f t="shared" si="53"/>
        <v>12</v>
      </c>
      <c r="M194" s="386">
        <f t="shared" si="54"/>
        <v>17</v>
      </c>
      <c r="N194" s="377">
        <f t="shared" si="55"/>
        <v>0</v>
      </c>
      <c r="O194" s="377">
        <f t="shared" si="56"/>
        <v>1</v>
      </c>
      <c r="P194" s="1384">
        <f t="shared" si="57"/>
        <v>0</v>
      </c>
      <c r="Q194" s="645">
        <f t="shared" si="58"/>
        <v>18</v>
      </c>
      <c r="R194" s="645">
        <v>17</v>
      </c>
      <c r="S194" s="370"/>
      <c r="T194" s="400"/>
    </row>
    <row r="195" spans="1:34" ht="15.75" customHeight="1" x14ac:dyDescent="0.35">
      <c r="A195" s="245">
        <v>10</v>
      </c>
      <c r="B195" s="224" t="s">
        <v>23</v>
      </c>
      <c r="C195" s="386">
        <v>7</v>
      </c>
      <c r="D195" s="377">
        <v>1</v>
      </c>
      <c r="E195" s="377">
        <v>0</v>
      </c>
      <c r="F195" s="1384">
        <v>1</v>
      </c>
      <c r="G195" s="379">
        <f t="shared" si="52"/>
        <v>9</v>
      </c>
      <c r="H195" s="386">
        <v>8</v>
      </c>
      <c r="I195" s="377">
        <v>2</v>
      </c>
      <c r="J195" s="377">
        <v>0</v>
      </c>
      <c r="K195" s="1384">
        <v>0</v>
      </c>
      <c r="L195" s="379">
        <f t="shared" si="53"/>
        <v>10</v>
      </c>
      <c r="M195" s="386">
        <f t="shared" si="54"/>
        <v>15</v>
      </c>
      <c r="N195" s="377">
        <f t="shared" si="55"/>
        <v>3</v>
      </c>
      <c r="O195" s="377">
        <f t="shared" si="56"/>
        <v>0</v>
      </c>
      <c r="P195" s="1384">
        <f t="shared" si="57"/>
        <v>1</v>
      </c>
      <c r="Q195" s="645">
        <f t="shared" si="58"/>
        <v>19</v>
      </c>
      <c r="R195" s="645">
        <v>12</v>
      </c>
      <c r="S195" s="370"/>
      <c r="T195" s="370"/>
    </row>
    <row r="196" spans="1:34" ht="15.75" customHeight="1" x14ac:dyDescent="0.35">
      <c r="A196" s="247">
        <v>11</v>
      </c>
      <c r="B196" s="226" t="s">
        <v>24</v>
      </c>
      <c r="C196" s="386">
        <v>5</v>
      </c>
      <c r="D196" s="377">
        <v>0</v>
      </c>
      <c r="E196" s="377">
        <v>0</v>
      </c>
      <c r="F196" s="1384">
        <v>0</v>
      </c>
      <c r="G196" s="379">
        <f t="shared" si="52"/>
        <v>5</v>
      </c>
      <c r="H196" s="386">
        <v>9</v>
      </c>
      <c r="I196" s="377">
        <v>0</v>
      </c>
      <c r="J196" s="377">
        <v>0</v>
      </c>
      <c r="K196" s="1384">
        <v>0</v>
      </c>
      <c r="L196" s="379">
        <f t="shared" si="53"/>
        <v>9</v>
      </c>
      <c r="M196" s="386">
        <f t="shared" si="54"/>
        <v>14</v>
      </c>
      <c r="N196" s="377">
        <f t="shared" si="55"/>
        <v>0</v>
      </c>
      <c r="O196" s="377">
        <f t="shared" si="56"/>
        <v>0</v>
      </c>
      <c r="P196" s="1384">
        <f t="shared" si="57"/>
        <v>0</v>
      </c>
      <c r="Q196" s="645">
        <f t="shared" si="58"/>
        <v>14</v>
      </c>
      <c r="R196" s="645">
        <v>0</v>
      </c>
      <c r="S196" s="370"/>
      <c r="T196" s="370"/>
    </row>
    <row r="197" spans="1:34" ht="15.75" customHeight="1" x14ac:dyDescent="0.35">
      <c r="A197" s="245">
        <v>12</v>
      </c>
      <c r="B197" s="224" t="s">
        <v>25</v>
      </c>
      <c r="C197" s="386">
        <v>0</v>
      </c>
      <c r="D197" s="377">
        <v>0</v>
      </c>
      <c r="E197" s="377">
        <v>0</v>
      </c>
      <c r="F197" s="1384">
        <v>0</v>
      </c>
      <c r="G197" s="379">
        <f t="shared" si="52"/>
        <v>0</v>
      </c>
      <c r="H197" s="386">
        <v>1</v>
      </c>
      <c r="I197" s="377">
        <v>0</v>
      </c>
      <c r="J197" s="377">
        <v>0</v>
      </c>
      <c r="K197" s="1384">
        <v>0</v>
      </c>
      <c r="L197" s="379">
        <f t="shared" si="53"/>
        <v>1</v>
      </c>
      <c r="M197" s="386">
        <f t="shared" si="54"/>
        <v>1</v>
      </c>
      <c r="N197" s="377">
        <f t="shared" si="55"/>
        <v>0</v>
      </c>
      <c r="O197" s="377">
        <f t="shared" si="56"/>
        <v>0</v>
      </c>
      <c r="P197" s="1384">
        <f t="shared" si="57"/>
        <v>0</v>
      </c>
      <c r="Q197" s="645">
        <f t="shared" si="58"/>
        <v>1</v>
      </c>
      <c r="R197" s="645">
        <v>1</v>
      </c>
      <c r="S197" s="370"/>
      <c r="T197" s="370"/>
    </row>
    <row r="198" spans="1:34" ht="15.75" customHeight="1" x14ac:dyDescent="0.35">
      <c r="A198" s="245">
        <v>13</v>
      </c>
      <c r="B198" s="224" t="s">
        <v>26</v>
      </c>
      <c r="C198" s="386">
        <v>11</v>
      </c>
      <c r="D198" s="377">
        <v>1</v>
      </c>
      <c r="E198" s="377">
        <v>1</v>
      </c>
      <c r="F198" s="1384">
        <v>1</v>
      </c>
      <c r="G198" s="379">
        <f t="shared" si="52"/>
        <v>14</v>
      </c>
      <c r="H198" s="386">
        <v>25</v>
      </c>
      <c r="I198" s="377">
        <v>0</v>
      </c>
      <c r="J198" s="377">
        <v>0</v>
      </c>
      <c r="K198" s="1384">
        <v>0</v>
      </c>
      <c r="L198" s="379">
        <f t="shared" si="53"/>
        <v>25</v>
      </c>
      <c r="M198" s="386">
        <f t="shared" si="54"/>
        <v>36</v>
      </c>
      <c r="N198" s="377">
        <f t="shared" si="55"/>
        <v>1</v>
      </c>
      <c r="O198" s="377">
        <f t="shared" si="56"/>
        <v>1</v>
      </c>
      <c r="P198" s="1384">
        <f t="shared" si="57"/>
        <v>1</v>
      </c>
      <c r="Q198" s="645">
        <f t="shared" si="58"/>
        <v>39</v>
      </c>
      <c r="R198" s="645">
        <v>21</v>
      </c>
      <c r="S198" s="370"/>
      <c r="T198" s="370"/>
    </row>
    <row r="199" spans="1:34" ht="15.75" customHeight="1" x14ac:dyDescent="0.35">
      <c r="A199" s="245">
        <v>14</v>
      </c>
      <c r="B199" s="224" t="s">
        <v>27</v>
      </c>
      <c r="C199" s="386">
        <v>2</v>
      </c>
      <c r="D199" s="377">
        <v>0</v>
      </c>
      <c r="E199" s="377">
        <v>0</v>
      </c>
      <c r="F199" s="1384">
        <v>1</v>
      </c>
      <c r="G199" s="379">
        <f t="shared" si="52"/>
        <v>3</v>
      </c>
      <c r="H199" s="386">
        <v>5</v>
      </c>
      <c r="I199" s="377">
        <v>0</v>
      </c>
      <c r="J199" s="377">
        <v>0</v>
      </c>
      <c r="K199" s="1384">
        <v>0</v>
      </c>
      <c r="L199" s="379">
        <f t="shared" si="53"/>
        <v>5</v>
      </c>
      <c r="M199" s="386">
        <f t="shared" si="54"/>
        <v>7</v>
      </c>
      <c r="N199" s="377">
        <f t="shared" si="55"/>
        <v>0</v>
      </c>
      <c r="O199" s="377">
        <f t="shared" si="56"/>
        <v>0</v>
      </c>
      <c r="P199" s="1384">
        <f t="shared" si="57"/>
        <v>1</v>
      </c>
      <c r="Q199" s="645">
        <f t="shared" si="58"/>
        <v>8</v>
      </c>
      <c r="R199" s="645">
        <v>5</v>
      </c>
      <c r="S199" s="370"/>
      <c r="T199" s="370"/>
    </row>
    <row r="200" spans="1:34" ht="30.75" customHeight="1" thickBot="1" x14ac:dyDescent="0.4">
      <c r="A200" s="248">
        <v>15</v>
      </c>
      <c r="B200" s="227" t="s">
        <v>28</v>
      </c>
      <c r="C200" s="389">
        <v>1</v>
      </c>
      <c r="D200" s="390">
        <v>0</v>
      </c>
      <c r="E200" s="390">
        <v>0</v>
      </c>
      <c r="F200" s="1385">
        <v>0</v>
      </c>
      <c r="G200" s="381">
        <f t="shared" si="52"/>
        <v>1</v>
      </c>
      <c r="H200" s="389">
        <v>1</v>
      </c>
      <c r="I200" s="390">
        <v>0</v>
      </c>
      <c r="J200" s="390">
        <v>0</v>
      </c>
      <c r="K200" s="1385">
        <v>0</v>
      </c>
      <c r="L200" s="381">
        <f t="shared" si="53"/>
        <v>1</v>
      </c>
      <c r="M200" s="389">
        <f t="shared" si="54"/>
        <v>2</v>
      </c>
      <c r="N200" s="390">
        <f t="shared" si="55"/>
        <v>0</v>
      </c>
      <c r="O200" s="390">
        <f t="shared" si="56"/>
        <v>0</v>
      </c>
      <c r="P200" s="1385">
        <f t="shared" si="57"/>
        <v>0</v>
      </c>
      <c r="Q200" s="646">
        <f t="shared" si="58"/>
        <v>2</v>
      </c>
      <c r="R200" s="646">
        <v>0</v>
      </c>
      <c r="S200" s="370"/>
      <c r="T200" s="370"/>
    </row>
    <row r="201" spans="1:34" s="418" customFormat="1" ht="23.25" customHeight="1" x14ac:dyDescent="0.35">
      <c r="A201" s="320"/>
      <c r="B201" s="321" t="s">
        <v>543</v>
      </c>
      <c r="C201" s="322">
        <f t="shared" ref="C201:R201" si="59">SUM(C186:C200)</f>
        <v>88</v>
      </c>
      <c r="D201" s="323">
        <f t="shared" si="59"/>
        <v>5</v>
      </c>
      <c r="E201" s="323">
        <f t="shared" si="59"/>
        <v>1</v>
      </c>
      <c r="F201" s="323">
        <f t="shared" si="59"/>
        <v>6</v>
      </c>
      <c r="G201" s="324">
        <f t="shared" si="59"/>
        <v>100</v>
      </c>
      <c r="H201" s="322">
        <f t="shared" si="59"/>
        <v>154</v>
      </c>
      <c r="I201" s="323">
        <f t="shared" si="59"/>
        <v>3</v>
      </c>
      <c r="J201" s="323">
        <f t="shared" si="59"/>
        <v>1</v>
      </c>
      <c r="K201" s="323">
        <f t="shared" si="59"/>
        <v>2</v>
      </c>
      <c r="L201" s="324">
        <f t="shared" si="59"/>
        <v>160</v>
      </c>
      <c r="M201" s="322">
        <f t="shared" si="59"/>
        <v>242</v>
      </c>
      <c r="N201" s="323">
        <f t="shared" si="59"/>
        <v>8</v>
      </c>
      <c r="O201" s="323">
        <f t="shared" si="59"/>
        <v>2</v>
      </c>
      <c r="P201" s="323">
        <f t="shared" si="59"/>
        <v>8</v>
      </c>
      <c r="Q201" s="324">
        <f t="shared" si="59"/>
        <v>260</v>
      </c>
      <c r="R201" s="325">
        <f t="shared" si="59"/>
        <v>117</v>
      </c>
      <c r="S201" s="326"/>
      <c r="T201" s="326"/>
    </row>
    <row r="202" spans="1:34" s="418" customFormat="1" ht="23.25" customHeight="1" x14ac:dyDescent="0.35">
      <c r="A202" s="1374"/>
      <c r="B202" s="226" t="s">
        <v>454</v>
      </c>
      <c r="C202" s="1375">
        <v>70</v>
      </c>
      <c r="D202" s="1376">
        <v>2</v>
      </c>
      <c r="E202" s="1376">
        <v>2</v>
      </c>
      <c r="F202" s="1376">
        <v>7</v>
      </c>
      <c r="G202" s="1377">
        <v>81</v>
      </c>
      <c r="H202" s="1375">
        <v>110</v>
      </c>
      <c r="I202" s="1376">
        <v>3</v>
      </c>
      <c r="J202" s="1376">
        <v>0</v>
      </c>
      <c r="K202" s="1376">
        <v>2</v>
      </c>
      <c r="L202" s="1378">
        <v>115</v>
      </c>
      <c r="M202" s="1375">
        <v>180</v>
      </c>
      <c r="N202" s="1376">
        <v>5</v>
      </c>
      <c r="O202" s="1376">
        <v>2</v>
      </c>
      <c r="P202" s="1376">
        <v>9</v>
      </c>
      <c r="Q202" s="379">
        <v>196</v>
      </c>
      <c r="R202" s="526">
        <v>114</v>
      </c>
      <c r="S202" s="326"/>
      <c r="T202" s="326"/>
    </row>
    <row r="203" spans="1:34" ht="15.75" customHeight="1" x14ac:dyDescent="0.35">
      <c r="A203" s="223"/>
      <c r="B203" s="224" t="s">
        <v>414</v>
      </c>
      <c r="C203" s="376">
        <v>74</v>
      </c>
      <c r="D203" s="377">
        <v>4</v>
      </c>
      <c r="E203" s="377">
        <v>2</v>
      </c>
      <c r="F203" s="377">
        <v>3</v>
      </c>
      <c r="G203" s="379">
        <v>83</v>
      </c>
      <c r="H203" s="376">
        <v>125</v>
      </c>
      <c r="I203" s="377">
        <v>2</v>
      </c>
      <c r="J203" s="377">
        <v>1</v>
      </c>
      <c r="K203" s="377">
        <v>3</v>
      </c>
      <c r="L203" s="378">
        <v>131</v>
      </c>
      <c r="M203" s="376">
        <v>199</v>
      </c>
      <c r="N203" s="377">
        <v>6</v>
      </c>
      <c r="O203" s="377">
        <v>3</v>
      </c>
      <c r="P203" s="377">
        <v>6</v>
      </c>
      <c r="Q203" s="379">
        <v>214</v>
      </c>
      <c r="R203" s="526">
        <v>105</v>
      </c>
      <c r="S203" s="370"/>
      <c r="T203" s="370"/>
    </row>
    <row r="204" spans="1:34" ht="15.75" customHeight="1" x14ac:dyDescent="0.35">
      <c r="A204" s="223"/>
      <c r="B204" s="224" t="s">
        <v>366</v>
      </c>
      <c r="C204" s="376">
        <v>74</v>
      </c>
      <c r="D204" s="377">
        <v>1</v>
      </c>
      <c r="E204" s="377">
        <v>2</v>
      </c>
      <c r="F204" s="377">
        <v>1</v>
      </c>
      <c r="G204" s="379">
        <v>78</v>
      </c>
      <c r="H204" s="376">
        <v>120</v>
      </c>
      <c r="I204" s="377">
        <v>1</v>
      </c>
      <c r="J204" s="377">
        <v>2</v>
      </c>
      <c r="K204" s="377">
        <v>1</v>
      </c>
      <c r="L204" s="378">
        <v>124</v>
      </c>
      <c r="M204" s="376">
        <v>194</v>
      </c>
      <c r="N204" s="377">
        <v>2</v>
      </c>
      <c r="O204" s="377">
        <v>4</v>
      </c>
      <c r="P204" s="377">
        <v>2</v>
      </c>
      <c r="Q204" s="379">
        <v>202</v>
      </c>
      <c r="R204" s="526">
        <v>99</v>
      </c>
      <c r="S204" s="370"/>
      <c r="T204" s="370"/>
    </row>
    <row r="205" spans="1:34" ht="15.75" customHeight="1" x14ac:dyDescent="0.35">
      <c r="A205" s="223"/>
      <c r="B205" s="224" t="s">
        <v>333</v>
      </c>
      <c r="C205" s="376">
        <v>76</v>
      </c>
      <c r="D205" s="377">
        <v>0</v>
      </c>
      <c r="E205" s="377">
        <v>4</v>
      </c>
      <c r="F205" s="377">
        <v>1</v>
      </c>
      <c r="G205" s="379">
        <v>81</v>
      </c>
      <c r="H205" s="376">
        <v>128</v>
      </c>
      <c r="I205" s="377">
        <v>2</v>
      </c>
      <c r="J205" s="377">
        <v>1</v>
      </c>
      <c r="K205" s="377">
        <v>2</v>
      </c>
      <c r="L205" s="378">
        <v>133</v>
      </c>
      <c r="M205" s="376">
        <v>204</v>
      </c>
      <c r="N205" s="377">
        <v>2</v>
      </c>
      <c r="O205" s="377">
        <v>5</v>
      </c>
      <c r="P205" s="377">
        <v>3</v>
      </c>
      <c r="Q205" s="379">
        <v>214</v>
      </c>
      <c r="R205" s="526">
        <v>94</v>
      </c>
      <c r="S205" s="370"/>
      <c r="T205" s="370"/>
    </row>
    <row r="206" spans="1:34" ht="15.75" customHeight="1" x14ac:dyDescent="0.35">
      <c r="A206" s="223"/>
      <c r="B206" s="224" t="s">
        <v>298</v>
      </c>
      <c r="C206" s="376">
        <v>82</v>
      </c>
      <c r="D206" s="377">
        <v>0</v>
      </c>
      <c r="E206" s="377">
        <v>1</v>
      </c>
      <c r="F206" s="377">
        <v>1</v>
      </c>
      <c r="G206" s="379">
        <v>84</v>
      </c>
      <c r="H206" s="376">
        <v>125</v>
      </c>
      <c r="I206" s="377">
        <v>4</v>
      </c>
      <c r="J206" s="377">
        <v>1</v>
      </c>
      <c r="K206" s="377">
        <v>1</v>
      </c>
      <c r="L206" s="378">
        <v>131</v>
      </c>
      <c r="M206" s="376">
        <v>207</v>
      </c>
      <c r="N206" s="377">
        <v>4</v>
      </c>
      <c r="O206" s="377">
        <v>2</v>
      </c>
      <c r="P206" s="377">
        <v>2</v>
      </c>
      <c r="Q206" s="379">
        <v>215</v>
      </c>
      <c r="R206" s="526">
        <v>94</v>
      </c>
      <c r="S206" s="370"/>
      <c r="T206" s="370"/>
    </row>
    <row r="207" spans="1:34" ht="15.75" customHeight="1" thickBot="1" x14ac:dyDescent="0.4">
      <c r="A207" s="338"/>
      <c r="B207" s="339" t="s">
        <v>132</v>
      </c>
      <c r="C207" s="340">
        <v>91</v>
      </c>
      <c r="D207" s="390">
        <v>0</v>
      </c>
      <c r="E207" s="390">
        <v>1</v>
      </c>
      <c r="F207" s="390">
        <v>1</v>
      </c>
      <c r="G207" s="391">
        <v>93</v>
      </c>
      <c r="H207" s="340">
        <v>155</v>
      </c>
      <c r="I207" s="390">
        <v>4</v>
      </c>
      <c r="J207" s="390">
        <v>2</v>
      </c>
      <c r="K207" s="390">
        <v>2</v>
      </c>
      <c r="L207" s="797">
        <v>163</v>
      </c>
      <c r="M207" s="340">
        <v>246</v>
      </c>
      <c r="N207" s="390">
        <v>4</v>
      </c>
      <c r="O207" s="390">
        <v>3</v>
      </c>
      <c r="P207" s="390">
        <v>3</v>
      </c>
      <c r="Q207" s="391">
        <v>256</v>
      </c>
      <c r="R207" s="527">
        <v>93</v>
      </c>
      <c r="S207" s="370"/>
      <c r="T207" s="370"/>
    </row>
    <row r="208" spans="1:34" ht="15.75" customHeight="1" x14ac:dyDescent="0.35">
      <c r="A208" s="216" t="s">
        <v>70</v>
      </c>
    </row>
    <row r="209" spans="1:34" ht="15.75" customHeight="1" x14ac:dyDescent="0.35">
      <c r="P209" s="368" t="s">
        <v>108</v>
      </c>
    </row>
    <row r="211" spans="1:34" s="217" customFormat="1" ht="30" customHeight="1" thickBot="1" x14ac:dyDescent="0.35">
      <c r="A211" s="185" t="s">
        <v>587</v>
      </c>
    </row>
    <row r="212" spans="1:34" s="219" customFormat="1" ht="33" customHeight="1" thickBot="1" x14ac:dyDescent="0.4">
      <c r="A212" s="237"/>
      <c r="B212" s="238"/>
      <c r="C212" s="1696" t="s">
        <v>63</v>
      </c>
      <c r="D212" s="1697"/>
      <c r="E212" s="1697"/>
      <c r="F212" s="1697"/>
      <c r="G212" s="1698"/>
      <c r="H212" s="1696" t="s">
        <v>64</v>
      </c>
      <c r="I212" s="1697"/>
      <c r="J212" s="1697"/>
      <c r="K212" s="1697"/>
      <c r="L212" s="1698"/>
      <c r="M212" s="1696" t="s">
        <v>65</v>
      </c>
      <c r="N212" s="1697"/>
      <c r="O212" s="1697"/>
      <c r="P212" s="1697"/>
      <c r="Q212" s="1697"/>
      <c r="R212" s="1698"/>
    </row>
    <row r="213" spans="1:34" s="219" customFormat="1" ht="89.25" customHeight="1" thickBot="1" x14ac:dyDescent="0.4">
      <c r="A213" s="239" t="s">
        <v>2</v>
      </c>
      <c r="B213" s="220" t="s">
        <v>3</v>
      </c>
      <c r="C213" s="269" t="s">
        <v>66</v>
      </c>
      <c r="D213" s="266" t="s">
        <v>296</v>
      </c>
      <c r="E213" s="266" t="s">
        <v>297</v>
      </c>
      <c r="F213" s="266" t="s">
        <v>67</v>
      </c>
      <c r="G213" s="296" t="s">
        <v>68</v>
      </c>
      <c r="H213" s="286" t="s">
        <v>66</v>
      </c>
      <c r="I213" s="266" t="s">
        <v>296</v>
      </c>
      <c r="J213" s="266" t="s">
        <v>297</v>
      </c>
      <c r="K213" s="266" t="s">
        <v>67</v>
      </c>
      <c r="L213" s="296" t="s">
        <v>13</v>
      </c>
      <c r="M213" s="286" t="s">
        <v>66</v>
      </c>
      <c r="N213" s="266" t="s">
        <v>296</v>
      </c>
      <c r="O213" s="266" t="s">
        <v>297</v>
      </c>
      <c r="P213" s="266" t="s">
        <v>67</v>
      </c>
      <c r="Q213" s="296" t="s">
        <v>13</v>
      </c>
      <c r="R213" s="399" t="s">
        <v>69</v>
      </c>
    </row>
    <row r="214" spans="1:34" ht="15.75" customHeight="1" x14ac:dyDescent="0.35">
      <c r="A214" s="243">
        <v>1</v>
      </c>
      <c r="B214" s="222" t="s">
        <v>14</v>
      </c>
      <c r="C214" s="801">
        <v>7</v>
      </c>
      <c r="D214" s="802">
        <v>0</v>
      </c>
      <c r="E214" s="802">
        <v>0</v>
      </c>
      <c r="F214" s="1383">
        <v>0</v>
      </c>
      <c r="G214" s="375">
        <f t="shared" ref="G214:G228" si="60">SUM(C214:F214)</f>
        <v>7</v>
      </c>
      <c r="H214" s="801">
        <v>19</v>
      </c>
      <c r="I214" s="802">
        <v>0</v>
      </c>
      <c r="J214" s="802">
        <v>0</v>
      </c>
      <c r="K214" s="1383">
        <v>0</v>
      </c>
      <c r="L214" s="375">
        <f t="shared" ref="L214:L228" si="61">SUM(H214:K214)</f>
        <v>19</v>
      </c>
      <c r="M214" s="801">
        <f t="shared" ref="M214:M228" si="62">C214+H214</f>
        <v>26</v>
      </c>
      <c r="N214" s="802">
        <f t="shared" ref="N214:N228" si="63">D214+I214</f>
        <v>0</v>
      </c>
      <c r="O214" s="802">
        <f t="shared" ref="O214:O228" si="64">E214+J214</f>
        <v>0</v>
      </c>
      <c r="P214" s="1383">
        <f t="shared" ref="P214:P228" si="65">F214+K214</f>
        <v>0</v>
      </c>
      <c r="Q214" s="644">
        <f t="shared" ref="Q214:Q228" si="66">SUM(M214:P214)</f>
        <v>26</v>
      </c>
      <c r="R214" s="644">
        <v>26</v>
      </c>
      <c r="S214" s="370"/>
      <c r="T214" s="370"/>
    </row>
    <row r="215" spans="1:34" ht="15.75" customHeight="1" x14ac:dyDescent="0.35">
      <c r="A215" s="245">
        <v>2</v>
      </c>
      <c r="B215" s="224" t="s">
        <v>15</v>
      </c>
      <c r="C215" s="386">
        <v>2</v>
      </c>
      <c r="D215" s="377">
        <v>0</v>
      </c>
      <c r="E215" s="377">
        <v>0</v>
      </c>
      <c r="F215" s="1384">
        <v>0</v>
      </c>
      <c r="G215" s="379">
        <f t="shared" si="60"/>
        <v>2</v>
      </c>
      <c r="H215" s="386">
        <v>12</v>
      </c>
      <c r="I215" s="377">
        <v>0</v>
      </c>
      <c r="J215" s="377">
        <v>0</v>
      </c>
      <c r="K215" s="1384">
        <v>0</v>
      </c>
      <c r="L215" s="379">
        <f t="shared" si="61"/>
        <v>12</v>
      </c>
      <c r="M215" s="386">
        <f t="shared" si="62"/>
        <v>14</v>
      </c>
      <c r="N215" s="377">
        <f t="shared" si="63"/>
        <v>0</v>
      </c>
      <c r="O215" s="377">
        <f t="shared" si="64"/>
        <v>0</v>
      </c>
      <c r="P215" s="1384">
        <f t="shared" si="65"/>
        <v>0</v>
      </c>
      <c r="Q215" s="645">
        <f t="shared" si="66"/>
        <v>14</v>
      </c>
      <c r="R215" s="645">
        <v>0</v>
      </c>
      <c r="S215" s="370"/>
      <c r="T215" s="370"/>
    </row>
    <row r="216" spans="1:34" ht="15.75" customHeight="1" x14ac:dyDescent="0.35">
      <c r="A216" s="245">
        <v>3</v>
      </c>
      <c r="B216" s="224" t="s">
        <v>16</v>
      </c>
      <c r="C216" s="386">
        <v>11</v>
      </c>
      <c r="D216" s="377">
        <v>0</v>
      </c>
      <c r="E216" s="377">
        <v>0</v>
      </c>
      <c r="F216" s="1384">
        <v>0</v>
      </c>
      <c r="G216" s="379">
        <f t="shared" si="60"/>
        <v>11</v>
      </c>
      <c r="H216" s="386">
        <v>14</v>
      </c>
      <c r="I216" s="377">
        <v>0</v>
      </c>
      <c r="J216" s="377">
        <v>0</v>
      </c>
      <c r="K216" s="1384">
        <v>0</v>
      </c>
      <c r="L216" s="379">
        <f t="shared" si="61"/>
        <v>14</v>
      </c>
      <c r="M216" s="386">
        <f t="shared" si="62"/>
        <v>25</v>
      </c>
      <c r="N216" s="377">
        <f t="shared" si="63"/>
        <v>0</v>
      </c>
      <c r="O216" s="377">
        <f t="shared" si="64"/>
        <v>0</v>
      </c>
      <c r="P216" s="1384">
        <f t="shared" si="65"/>
        <v>0</v>
      </c>
      <c r="Q216" s="645">
        <f t="shared" si="66"/>
        <v>25</v>
      </c>
      <c r="R216" s="645">
        <v>11</v>
      </c>
      <c r="S216" s="370"/>
      <c r="T216" s="426"/>
      <c r="U216" s="425"/>
      <c r="V216" s="426"/>
      <c r="W216" s="426"/>
      <c r="X216" s="426"/>
      <c r="Y216" s="426"/>
      <c r="Z216" s="426"/>
      <c r="AA216" s="426"/>
      <c r="AB216" s="426"/>
      <c r="AC216" s="426"/>
      <c r="AD216" s="426"/>
      <c r="AE216" s="426"/>
      <c r="AF216" s="426"/>
      <c r="AG216" s="426"/>
      <c r="AH216" s="426"/>
    </row>
    <row r="217" spans="1:34" ht="15.75" customHeight="1" x14ac:dyDescent="0.35">
      <c r="A217" s="245">
        <v>4</v>
      </c>
      <c r="B217" s="224" t="s">
        <v>17</v>
      </c>
      <c r="C217" s="386">
        <v>7</v>
      </c>
      <c r="D217" s="377">
        <v>0</v>
      </c>
      <c r="E217" s="377">
        <v>0</v>
      </c>
      <c r="F217" s="1384">
        <v>0</v>
      </c>
      <c r="G217" s="379">
        <f t="shared" si="60"/>
        <v>7</v>
      </c>
      <c r="H217" s="386">
        <v>10</v>
      </c>
      <c r="I217" s="377">
        <v>0</v>
      </c>
      <c r="J217" s="377">
        <v>0</v>
      </c>
      <c r="K217" s="1384">
        <v>0</v>
      </c>
      <c r="L217" s="379">
        <f t="shared" si="61"/>
        <v>10</v>
      </c>
      <c r="M217" s="386">
        <f t="shared" si="62"/>
        <v>17</v>
      </c>
      <c r="N217" s="377">
        <f t="shared" si="63"/>
        <v>0</v>
      </c>
      <c r="O217" s="377">
        <f t="shared" si="64"/>
        <v>0</v>
      </c>
      <c r="P217" s="1384">
        <f t="shared" si="65"/>
        <v>0</v>
      </c>
      <c r="Q217" s="645">
        <f t="shared" si="66"/>
        <v>17</v>
      </c>
      <c r="R217" s="645">
        <v>9</v>
      </c>
      <c r="S217" s="370"/>
      <c r="T217" s="426"/>
      <c r="U217" s="425"/>
      <c r="V217" s="426"/>
      <c r="W217" s="426"/>
      <c r="X217" s="426"/>
      <c r="Y217" s="426"/>
      <c r="Z217" s="426"/>
      <c r="AA217" s="426"/>
      <c r="AB217" s="426"/>
      <c r="AC217" s="426"/>
      <c r="AD217" s="426"/>
      <c r="AE217" s="426"/>
      <c r="AF217" s="426"/>
      <c r="AG217" s="426"/>
      <c r="AH217" s="426"/>
    </row>
    <row r="218" spans="1:34" ht="15.75" customHeight="1" x14ac:dyDescent="0.35">
      <c r="A218" s="245">
        <v>5</v>
      </c>
      <c r="B218" s="224" t="s">
        <v>18</v>
      </c>
      <c r="C218" s="386">
        <v>7</v>
      </c>
      <c r="D218" s="377">
        <v>0</v>
      </c>
      <c r="E218" s="377">
        <v>0</v>
      </c>
      <c r="F218" s="1384">
        <v>0</v>
      </c>
      <c r="G218" s="379">
        <f t="shared" si="60"/>
        <v>7</v>
      </c>
      <c r="H218" s="386">
        <v>7</v>
      </c>
      <c r="I218" s="377">
        <v>0</v>
      </c>
      <c r="J218" s="377">
        <v>0</v>
      </c>
      <c r="K218" s="1384">
        <v>0</v>
      </c>
      <c r="L218" s="379">
        <f t="shared" si="61"/>
        <v>7</v>
      </c>
      <c r="M218" s="386">
        <f t="shared" si="62"/>
        <v>14</v>
      </c>
      <c r="N218" s="377">
        <f t="shared" si="63"/>
        <v>0</v>
      </c>
      <c r="O218" s="377">
        <f t="shared" si="64"/>
        <v>0</v>
      </c>
      <c r="P218" s="1384">
        <f t="shared" si="65"/>
        <v>0</v>
      </c>
      <c r="Q218" s="645">
        <f t="shared" si="66"/>
        <v>14</v>
      </c>
      <c r="R218" s="645">
        <v>1</v>
      </c>
      <c r="S218" s="370"/>
      <c r="T218" s="426"/>
      <c r="U218" s="425"/>
      <c r="V218" s="426"/>
      <c r="W218" s="426"/>
      <c r="X218" s="426" t="s">
        <v>108</v>
      </c>
      <c r="Y218" s="426"/>
      <c r="Z218" s="426"/>
      <c r="AA218" s="426"/>
      <c r="AB218" s="426"/>
      <c r="AC218" s="426"/>
      <c r="AD218" s="426"/>
      <c r="AE218" s="426"/>
      <c r="AF218" s="426"/>
      <c r="AG218" s="426"/>
      <c r="AH218" s="426"/>
    </row>
    <row r="219" spans="1:34" ht="15.75" customHeight="1" x14ac:dyDescent="0.35">
      <c r="A219" s="247">
        <v>6</v>
      </c>
      <c r="B219" s="226" t="s">
        <v>19</v>
      </c>
      <c r="C219" s="386">
        <v>2</v>
      </c>
      <c r="D219" s="377">
        <v>0</v>
      </c>
      <c r="E219" s="377">
        <v>0</v>
      </c>
      <c r="F219" s="1384">
        <v>0</v>
      </c>
      <c r="G219" s="379">
        <f t="shared" si="60"/>
        <v>2</v>
      </c>
      <c r="H219" s="386">
        <v>4</v>
      </c>
      <c r="I219" s="377">
        <v>0</v>
      </c>
      <c r="J219" s="377">
        <v>0</v>
      </c>
      <c r="K219" s="1384">
        <v>0</v>
      </c>
      <c r="L219" s="379">
        <f t="shared" si="61"/>
        <v>4</v>
      </c>
      <c r="M219" s="386">
        <f t="shared" si="62"/>
        <v>6</v>
      </c>
      <c r="N219" s="377">
        <f t="shared" si="63"/>
        <v>0</v>
      </c>
      <c r="O219" s="377">
        <f t="shared" si="64"/>
        <v>0</v>
      </c>
      <c r="P219" s="1384">
        <f t="shared" si="65"/>
        <v>0</v>
      </c>
      <c r="Q219" s="645">
        <f t="shared" si="66"/>
        <v>6</v>
      </c>
      <c r="R219" s="645">
        <v>0</v>
      </c>
      <c r="S219" s="370"/>
      <c r="T219" s="426"/>
      <c r="U219" s="425"/>
      <c r="V219" s="426"/>
      <c r="W219" s="426" t="s">
        <v>108</v>
      </c>
      <c r="X219" s="426"/>
      <c r="Y219" s="426"/>
      <c r="Z219" s="426"/>
      <c r="AA219" s="426"/>
      <c r="AB219" s="426"/>
      <c r="AC219" s="426"/>
      <c r="AD219" s="426"/>
      <c r="AE219" s="426"/>
      <c r="AF219" s="426"/>
      <c r="AG219" s="426"/>
      <c r="AH219" s="426"/>
    </row>
    <row r="220" spans="1:34" ht="15.75" customHeight="1" x14ac:dyDescent="0.35">
      <c r="A220" s="247">
        <v>7</v>
      </c>
      <c r="B220" s="226" t="s">
        <v>20</v>
      </c>
      <c r="C220" s="386">
        <v>2</v>
      </c>
      <c r="D220" s="377">
        <v>0</v>
      </c>
      <c r="E220" s="377">
        <v>0</v>
      </c>
      <c r="F220" s="1384">
        <v>0</v>
      </c>
      <c r="G220" s="379">
        <f t="shared" si="60"/>
        <v>2</v>
      </c>
      <c r="H220" s="386">
        <v>9</v>
      </c>
      <c r="I220" s="377">
        <v>0</v>
      </c>
      <c r="J220" s="377">
        <v>0</v>
      </c>
      <c r="K220" s="1384">
        <v>0</v>
      </c>
      <c r="L220" s="379">
        <f t="shared" si="61"/>
        <v>9</v>
      </c>
      <c r="M220" s="386">
        <f t="shared" si="62"/>
        <v>11</v>
      </c>
      <c r="N220" s="377">
        <f t="shared" si="63"/>
        <v>0</v>
      </c>
      <c r="O220" s="377">
        <f t="shared" si="64"/>
        <v>0</v>
      </c>
      <c r="P220" s="1384">
        <f t="shared" si="65"/>
        <v>0</v>
      </c>
      <c r="Q220" s="645">
        <f t="shared" si="66"/>
        <v>11</v>
      </c>
      <c r="R220" s="645">
        <v>1</v>
      </c>
      <c r="S220" s="370"/>
      <c r="T220" s="370"/>
    </row>
    <row r="221" spans="1:34" ht="19.5" customHeight="1" x14ac:dyDescent="0.35">
      <c r="A221" s="245">
        <v>8</v>
      </c>
      <c r="B221" s="224" t="s">
        <v>21</v>
      </c>
      <c r="C221" s="386">
        <v>7</v>
      </c>
      <c r="D221" s="377">
        <v>0</v>
      </c>
      <c r="E221" s="377">
        <v>0</v>
      </c>
      <c r="F221" s="1384">
        <v>0</v>
      </c>
      <c r="G221" s="379">
        <f t="shared" si="60"/>
        <v>7</v>
      </c>
      <c r="H221" s="386">
        <v>3</v>
      </c>
      <c r="I221" s="377">
        <v>0</v>
      </c>
      <c r="J221" s="377">
        <v>1</v>
      </c>
      <c r="K221" s="1384">
        <v>0</v>
      </c>
      <c r="L221" s="379">
        <f t="shared" si="61"/>
        <v>4</v>
      </c>
      <c r="M221" s="386">
        <f t="shared" si="62"/>
        <v>10</v>
      </c>
      <c r="N221" s="377">
        <f t="shared" si="63"/>
        <v>0</v>
      </c>
      <c r="O221" s="377">
        <f t="shared" si="64"/>
        <v>1</v>
      </c>
      <c r="P221" s="1384">
        <f t="shared" si="65"/>
        <v>0</v>
      </c>
      <c r="Q221" s="645">
        <f t="shared" si="66"/>
        <v>11</v>
      </c>
      <c r="R221" s="645">
        <v>16</v>
      </c>
      <c r="S221" s="370"/>
      <c r="T221" s="426"/>
      <c r="U221" s="425"/>
      <c r="V221" s="426"/>
      <c r="W221" s="426"/>
      <c r="X221" s="426"/>
      <c r="Y221" s="426"/>
      <c r="Z221" s="426"/>
      <c r="AA221" s="426"/>
      <c r="AB221" s="426"/>
      <c r="AC221" s="426"/>
      <c r="AD221" s="426"/>
      <c r="AE221" s="426"/>
      <c r="AF221" s="426"/>
      <c r="AG221" s="426"/>
      <c r="AH221" s="426"/>
    </row>
    <row r="222" spans="1:34" ht="15.75" customHeight="1" x14ac:dyDescent="0.35">
      <c r="A222" s="245">
        <v>9</v>
      </c>
      <c r="B222" s="224" t="s">
        <v>22</v>
      </c>
      <c r="C222" s="386">
        <v>5</v>
      </c>
      <c r="D222" s="377">
        <v>0</v>
      </c>
      <c r="E222" s="377">
        <v>0</v>
      </c>
      <c r="F222" s="1384">
        <v>0</v>
      </c>
      <c r="G222" s="379">
        <f t="shared" si="60"/>
        <v>5</v>
      </c>
      <c r="H222" s="386">
        <v>6</v>
      </c>
      <c r="I222" s="377">
        <v>0</v>
      </c>
      <c r="J222" s="377">
        <v>0</v>
      </c>
      <c r="K222" s="1384">
        <v>0</v>
      </c>
      <c r="L222" s="379">
        <f t="shared" si="61"/>
        <v>6</v>
      </c>
      <c r="M222" s="386">
        <f t="shared" si="62"/>
        <v>11</v>
      </c>
      <c r="N222" s="377">
        <f t="shared" si="63"/>
        <v>0</v>
      </c>
      <c r="O222" s="377">
        <f t="shared" si="64"/>
        <v>0</v>
      </c>
      <c r="P222" s="1384">
        <f t="shared" si="65"/>
        <v>0</v>
      </c>
      <c r="Q222" s="645">
        <f t="shared" si="66"/>
        <v>11</v>
      </c>
      <c r="R222" s="645">
        <v>11</v>
      </c>
      <c r="S222" s="370"/>
      <c r="T222" s="370"/>
    </row>
    <row r="223" spans="1:34" ht="15.75" customHeight="1" x14ac:dyDescent="0.35">
      <c r="A223" s="245">
        <v>10</v>
      </c>
      <c r="B223" s="224" t="s">
        <v>23</v>
      </c>
      <c r="C223" s="386">
        <v>10</v>
      </c>
      <c r="D223" s="377">
        <v>0</v>
      </c>
      <c r="E223" s="377">
        <v>0</v>
      </c>
      <c r="F223" s="1384">
        <v>0</v>
      </c>
      <c r="G223" s="379">
        <f t="shared" si="60"/>
        <v>10</v>
      </c>
      <c r="H223" s="386">
        <v>20</v>
      </c>
      <c r="I223" s="377">
        <v>1</v>
      </c>
      <c r="J223" s="377">
        <v>0</v>
      </c>
      <c r="K223" s="1384">
        <v>0</v>
      </c>
      <c r="L223" s="379">
        <f t="shared" si="61"/>
        <v>21</v>
      </c>
      <c r="M223" s="386">
        <f t="shared" si="62"/>
        <v>30</v>
      </c>
      <c r="N223" s="377">
        <f t="shared" si="63"/>
        <v>1</v>
      </c>
      <c r="O223" s="377">
        <f t="shared" si="64"/>
        <v>0</v>
      </c>
      <c r="P223" s="1384">
        <f t="shared" si="65"/>
        <v>0</v>
      </c>
      <c r="Q223" s="645">
        <f t="shared" si="66"/>
        <v>31</v>
      </c>
      <c r="R223" s="645">
        <v>25</v>
      </c>
      <c r="S223" s="370"/>
      <c r="T223" s="370"/>
    </row>
    <row r="224" spans="1:34" ht="15.75" customHeight="1" x14ac:dyDescent="0.35">
      <c r="A224" s="247">
        <v>11</v>
      </c>
      <c r="B224" s="226" t="s">
        <v>24</v>
      </c>
      <c r="C224" s="386">
        <v>3</v>
      </c>
      <c r="D224" s="377">
        <v>0</v>
      </c>
      <c r="E224" s="377">
        <v>0</v>
      </c>
      <c r="F224" s="1384">
        <v>0</v>
      </c>
      <c r="G224" s="379">
        <f t="shared" si="60"/>
        <v>3</v>
      </c>
      <c r="H224" s="386">
        <v>9</v>
      </c>
      <c r="I224" s="377">
        <v>0</v>
      </c>
      <c r="J224" s="377">
        <v>0</v>
      </c>
      <c r="K224" s="1384">
        <v>0</v>
      </c>
      <c r="L224" s="379">
        <f t="shared" si="61"/>
        <v>9</v>
      </c>
      <c r="M224" s="386">
        <f t="shared" si="62"/>
        <v>12</v>
      </c>
      <c r="N224" s="377">
        <f t="shared" si="63"/>
        <v>0</v>
      </c>
      <c r="O224" s="377">
        <f t="shared" si="64"/>
        <v>0</v>
      </c>
      <c r="P224" s="1384">
        <f t="shared" si="65"/>
        <v>0</v>
      </c>
      <c r="Q224" s="645">
        <f t="shared" si="66"/>
        <v>12</v>
      </c>
      <c r="R224" s="645">
        <v>1</v>
      </c>
      <c r="S224" s="370"/>
      <c r="T224" s="370"/>
    </row>
    <row r="225" spans="1:20" ht="15.75" customHeight="1" x14ac:dyDescent="0.35">
      <c r="A225" s="245">
        <v>12</v>
      </c>
      <c r="B225" s="224" t="s">
        <v>25</v>
      </c>
      <c r="C225" s="386">
        <v>0</v>
      </c>
      <c r="D225" s="377">
        <v>0</v>
      </c>
      <c r="E225" s="377">
        <v>0</v>
      </c>
      <c r="F225" s="1384">
        <v>0</v>
      </c>
      <c r="G225" s="379">
        <f t="shared" si="60"/>
        <v>0</v>
      </c>
      <c r="H225" s="386">
        <v>2</v>
      </c>
      <c r="I225" s="377">
        <v>0</v>
      </c>
      <c r="J225" s="377">
        <v>0</v>
      </c>
      <c r="K225" s="1384">
        <v>0</v>
      </c>
      <c r="L225" s="379">
        <f t="shared" si="61"/>
        <v>2</v>
      </c>
      <c r="M225" s="386">
        <f t="shared" si="62"/>
        <v>2</v>
      </c>
      <c r="N225" s="377">
        <f t="shared" si="63"/>
        <v>0</v>
      </c>
      <c r="O225" s="377">
        <f t="shared" si="64"/>
        <v>0</v>
      </c>
      <c r="P225" s="1384">
        <f t="shared" si="65"/>
        <v>0</v>
      </c>
      <c r="Q225" s="645">
        <f t="shared" si="66"/>
        <v>2</v>
      </c>
      <c r="R225" s="645">
        <v>2</v>
      </c>
      <c r="S225" s="370"/>
      <c r="T225" s="370"/>
    </row>
    <row r="226" spans="1:20" ht="15.75" customHeight="1" x14ac:dyDescent="0.35">
      <c r="A226" s="245">
        <v>13</v>
      </c>
      <c r="B226" s="224" t="s">
        <v>26</v>
      </c>
      <c r="C226" s="386">
        <v>6</v>
      </c>
      <c r="D226" s="377">
        <v>0</v>
      </c>
      <c r="E226" s="377">
        <v>0</v>
      </c>
      <c r="F226" s="1384">
        <v>0</v>
      </c>
      <c r="G226" s="379">
        <f t="shared" si="60"/>
        <v>6</v>
      </c>
      <c r="H226" s="386">
        <v>36</v>
      </c>
      <c r="I226" s="377">
        <v>0</v>
      </c>
      <c r="J226" s="377">
        <v>0</v>
      </c>
      <c r="K226" s="1384">
        <v>0</v>
      </c>
      <c r="L226" s="379">
        <f t="shared" si="61"/>
        <v>36</v>
      </c>
      <c r="M226" s="386">
        <f t="shared" si="62"/>
        <v>42</v>
      </c>
      <c r="N226" s="377">
        <f t="shared" si="63"/>
        <v>0</v>
      </c>
      <c r="O226" s="377">
        <f t="shared" si="64"/>
        <v>0</v>
      </c>
      <c r="P226" s="1384">
        <f t="shared" si="65"/>
        <v>0</v>
      </c>
      <c r="Q226" s="645">
        <f t="shared" si="66"/>
        <v>42</v>
      </c>
      <c r="R226" s="645">
        <v>29</v>
      </c>
      <c r="S226" s="370"/>
      <c r="T226" s="370"/>
    </row>
    <row r="227" spans="1:20" ht="15.75" customHeight="1" x14ac:dyDescent="0.35">
      <c r="A227" s="245">
        <v>14</v>
      </c>
      <c r="B227" s="224" t="s">
        <v>27</v>
      </c>
      <c r="C227" s="386">
        <v>2</v>
      </c>
      <c r="D227" s="377">
        <v>0</v>
      </c>
      <c r="E227" s="377">
        <v>0</v>
      </c>
      <c r="F227" s="1384">
        <v>0</v>
      </c>
      <c r="G227" s="379">
        <f t="shared" si="60"/>
        <v>2</v>
      </c>
      <c r="H227" s="386">
        <v>16</v>
      </c>
      <c r="I227" s="377">
        <v>0</v>
      </c>
      <c r="J227" s="377">
        <v>0</v>
      </c>
      <c r="K227" s="1384">
        <v>0</v>
      </c>
      <c r="L227" s="379">
        <f t="shared" si="61"/>
        <v>16</v>
      </c>
      <c r="M227" s="386">
        <f t="shared" si="62"/>
        <v>18</v>
      </c>
      <c r="N227" s="377">
        <f t="shared" si="63"/>
        <v>0</v>
      </c>
      <c r="O227" s="377">
        <f t="shared" si="64"/>
        <v>0</v>
      </c>
      <c r="P227" s="1384">
        <f t="shared" si="65"/>
        <v>0</v>
      </c>
      <c r="Q227" s="645">
        <f t="shared" si="66"/>
        <v>18</v>
      </c>
      <c r="R227" s="645">
        <v>16</v>
      </c>
      <c r="S227" s="370"/>
      <c r="T227" s="370"/>
    </row>
    <row r="228" spans="1:20" ht="36" customHeight="1" thickBot="1" x14ac:dyDescent="0.4">
      <c r="A228" s="248">
        <v>15</v>
      </c>
      <c r="B228" s="227" t="s">
        <v>28</v>
      </c>
      <c r="C228" s="389">
        <v>0</v>
      </c>
      <c r="D228" s="390">
        <v>0</v>
      </c>
      <c r="E228" s="390">
        <v>0</v>
      </c>
      <c r="F228" s="1385">
        <v>0</v>
      </c>
      <c r="G228" s="381">
        <f t="shared" si="60"/>
        <v>0</v>
      </c>
      <c r="H228" s="389">
        <v>1</v>
      </c>
      <c r="I228" s="390">
        <v>0</v>
      </c>
      <c r="J228" s="390">
        <v>0</v>
      </c>
      <c r="K228" s="1385">
        <v>0</v>
      </c>
      <c r="L228" s="381">
        <f t="shared" si="61"/>
        <v>1</v>
      </c>
      <c r="M228" s="389">
        <f t="shared" si="62"/>
        <v>1</v>
      </c>
      <c r="N228" s="390">
        <f t="shared" si="63"/>
        <v>0</v>
      </c>
      <c r="O228" s="390">
        <f t="shared" si="64"/>
        <v>0</v>
      </c>
      <c r="P228" s="1385">
        <f t="shared" si="65"/>
        <v>0</v>
      </c>
      <c r="Q228" s="646">
        <f t="shared" si="66"/>
        <v>1</v>
      </c>
      <c r="R228" s="646">
        <v>0</v>
      </c>
      <c r="S228" s="370"/>
      <c r="T228" s="370"/>
    </row>
    <row r="229" spans="1:20" s="418" customFormat="1" ht="21" customHeight="1" x14ac:dyDescent="0.35">
      <c r="A229" s="320"/>
      <c r="B229" s="321" t="s">
        <v>543</v>
      </c>
      <c r="C229" s="322">
        <f t="shared" ref="C229:R229" si="67">SUM(C214:C228)</f>
        <v>71</v>
      </c>
      <c r="D229" s="323">
        <f t="shared" si="67"/>
        <v>0</v>
      </c>
      <c r="E229" s="323">
        <f t="shared" si="67"/>
        <v>0</v>
      </c>
      <c r="F229" s="323">
        <f t="shared" si="67"/>
        <v>0</v>
      </c>
      <c r="G229" s="324">
        <f t="shared" si="67"/>
        <v>71</v>
      </c>
      <c r="H229" s="322">
        <f t="shared" si="67"/>
        <v>168</v>
      </c>
      <c r="I229" s="323">
        <f t="shared" si="67"/>
        <v>1</v>
      </c>
      <c r="J229" s="323">
        <f t="shared" si="67"/>
        <v>1</v>
      </c>
      <c r="K229" s="323">
        <f t="shared" si="67"/>
        <v>0</v>
      </c>
      <c r="L229" s="324">
        <f t="shared" si="67"/>
        <v>170</v>
      </c>
      <c r="M229" s="322">
        <f t="shared" si="67"/>
        <v>239</v>
      </c>
      <c r="N229" s="323">
        <f t="shared" si="67"/>
        <v>1</v>
      </c>
      <c r="O229" s="323">
        <f t="shared" si="67"/>
        <v>1</v>
      </c>
      <c r="P229" s="323">
        <f t="shared" si="67"/>
        <v>0</v>
      </c>
      <c r="Q229" s="324">
        <f t="shared" si="67"/>
        <v>241</v>
      </c>
      <c r="R229" s="325">
        <f t="shared" si="67"/>
        <v>148</v>
      </c>
      <c r="S229" s="326"/>
      <c r="T229" s="326"/>
    </row>
    <row r="230" spans="1:20" s="418" customFormat="1" ht="20.25" customHeight="1" x14ac:dyDescent="0.35">
      <c r="A230" s="1374"/>
      <c r="B230" s="226" t="s">
        <v>454</v>
      </c>
      <c r="C230" s="1375">
        <v>59</v>
      </c>
      <c r="D230" s="1376">
        <v>0</v>
      </c>
      <c r="E230" s="1376">
        <v>1</v>
      </c>
      <c r="F230" s="1376">
        <v>1</v>
      </c>
      <c r="G230" s="1377">
        <v>61</v>
      </c>
      <c r="H230" s="1375">
        <v>132</v>
      </c>
      <c r="I230" s="1376">
        <v>1</v>
      </c>
      <c r="J230" s="1376">
        <v>2</v>
      </c>
      <c r="K230" s="1376">
        <v>0</v>
      </c>
      <c r="L230" s="1378">
        <v>135</v>
      </c>
      <c r="M230" s="1375">
        <v>191</v>
      </c>
      <c r="N230" s="1376">
        <v>1</v>
      </c>
      <c r="O230" s="1376">
        <v>3</v>
      </c>
      <c r="P230" s="1376">
        <v>1</v>
      </c>
      <c r="Q230" s="379">
        <v>196</v>
      </c>
      <c r="R230" s="526">
        <v>131</v>
      </c>
      <c r="S230" s="326"/>
      <c r="T230" s="326"/>
    </row>
    <row r="231" spans="1:20" ht="15.75" customHeight="1" x14ac:dyDescent="0.35">
      <c r="A231" s="223"/>
      <c r="B231" s="224" t="s">
        <v>414</v>
      </c>
      <c r="C231" s="376">
        <v>71</v>
      </c>
      <c r="D231" s="377">
        <v>4</v>
      </c>
      <c r="E231" s="377">
        <v>0</v>
      </c>
      <c r="F231" s="377">
        <v>1</v>
      </c>
      <c r="G231" s="379">
        <v>76</v>
      </c>
      <c r="H231" s="376">
        <v>163</v>
      </c>
      <c r="I231" s="377">
        <v>0</v>
      </c>
      <c r="J231" s="377">
        <v>0</v>
      </c>
      <c r="K231" s="377">
        <v>0</v>
      </c>
      <c r="L231" s="378">
        <v>163</v>
      </c>
      <c r="M231" s="376">
        <v>234</v>
      </c>
      <c r="N231" s="377">
        <v>4</v>
      </c>
      <c r="O231" s="377">
        <v>0</v>
      </c>
      <c r="P231" s="377">
        <v>1</v>
      </c>
      <c r="Q231" s="379">
        <v>239</v>
      </c>
      <c r="R231" s="526">
        <v>128</v>
      </c>
      <c r="S231" s="370"/>
      <c r="T231" s="370"/>
    </row>
    <row r="232" spans="1:20" ht="15.75" customHeight="1" x14ac:dyDescent="0.35">
      <c r="A232" s="223"/>
      <c r="B232" s="224" t="s">
        <v>366</v>
      </c>
      <c r="C232" s="376">
        <v>78</v>
      </c>
      <c r="D232" s="377">
        <v>0</v>
      </c>
      <c r="E232" s="377">
        <v>0</v>
      </c>
      <c r="F232" s="377">
        <v>1</v>
      </c>
      <c r="G232" s="379">
        <v>79</v>
      </c>
      <c r="H232" s="376">
        <v>143</v>
      </c>
      <c r="I232" s="377">
        <v>0</v>
      </c>
      <c r="J232" s="377">
        <v>0</v>
      </c>
      <c r="K232" s="377">
        <v>1</v>
      </c>
      <c r="L232" s="378">
        <v>144</v>
      </c>
      <c r="M232" s="376">
        <v>221</v>
      </c>
      <c r="N232" s="377">
        <v>0</v>
      </c>
      <c r="O232" s="377">
        <v>0</v>
      </c>
      <c r="P232" s="377">
        <v>2</v>
      </c>
      <c r="Q232" s="379">
        <v>223</v>
      </c>
      <c r="R232" s="526">
        <v>124</v>
      </c>
      <c r="S232" s="370"/>
      <c r="T232" s="370"/>
    </row>
    <row r="233" spans="1:20" ht="15.75" customHeight="1" x14ac:dyDescent="0.35">
      <c r="A233" s="223"/>
      <c r="B233" s="224" t="s">
        <v>333</v>
      </c>
      <c r="C233" s="376">
        <v>65</v>
      </c>
      <c r="D233" s="377">
        <v>0</v>
      </c>
      <c r="E233" s="377">
        <v>0</v>
      </c>
      <c r="F233" s="377">
        <v>1</v>
      </c>
      <c r="G233" s="379">
        <v>66</v>
      </c>
      <c r="H233" s="376">
        <v>166</v>
      </c>
      <c r="I233" s="377">
        <v>2</v>
      </c>
      <c r="J233" s="377">
        <v>0</v>
      </c>
      <c r="K233" s="377">
        <v>0</v>
      </c>
      <c r="L233" s="378">
        <v>168</v>
      </c>
      <c r="M233" s="376">
        <v>231</v>
      </c>
      <c r="N233" s="377">
        <v>2</v>
      </c>
      <c r="O233" s="377">
        <v>0</v>
      </c>
      <c r="P233" s="377">
        <v>1</v>
      </c>
      <c r="Q233" s="379">
        <v>234</v>
      </c>
      <c r="R233" s="526">
        <v>117</v>
      </c>
      <c r="S233" s="370"/>
      <c r="T233" s="370"/>
    </row>
    <row r="234" spans="1:20" ht="15.75" customHeight="1" x14ac:dyDescent="0.35">
      <c r="A234" s="223"/>
      <c r="B234" s="224" t="s">
        <v>298</v>
      </c>
      <c r="C234" s="376">
        <v>55</v>
      </c>
      <c r="D234" s="377">
        <v>0</v>
      </c>
      <c r="E234" s="377">
        <v>0</v>
      </c>
      <c r="F234" s="377">
        <v>1</v>
      </c>
      <c r="G234" s="379">
        <v>56</v>
      </c>
      <c r="H234" s="376">
        <v>170</v>
      </c>
      <c r="I234" s="377">
        <v>2</v>
      </c>
      <c r="J234" s="377">
        <v>0</v>
      </c>
      <c r="K234" s="377">
        <v>1</v>
      </c>
      <c r="L234" s="378">
        <v>173</v>
      </c>
      <c r="M234" s="376">
        <v>225</v>
      </c>
      <c r="N234" s="377">
        <v>2</v>
      </c>
      <c r="O234" s="377">
        <v>0</v>
      </c>
      <c r="P234" s="377">
        <v>2</v>
      </c>
      <c r="Q234" s="379">
        <v>229</v>
      </c>
      <c r="R234" s="526">
        <v>109</v>
      </c>
      <c r="S234" s="370"/>
      <c r="T234" s="370"/>
    </row>
    <row r="235" spans="1:20" ht="15.75" customHeight="1" thickBot="1" x14ac:dyDescent="0.4">
      <c r="A235" s="338"/>
      <c r="B235" s="339" t="s">
        <v>132</v>
      </c>
      <c r="C235" s="340">
        <v>57</v>
      </c>
      <c r="D235" s="390">
        <v>2</v>
      </c>
      <c r="E235" s="390">
        <v>0</v>
      </c>
      <c r="F235" s="390">
        <v>1</v>
      </c>
      <c r="G235" s="391">
        <v>60</v>
      </c>
      <c r="H235" s="340">
        <v>192</v>
      </c>
      <c r="I235" s="390">
        <v>4</v>
      </c>
      <c r="J235" s="390">
        <v>1</v>
      </c>
      <c r="K235" s="390">
        <v>2</v>
      </c>
      <c r="L235" s="797">
        <v>199</v>
      </c>
      <c r="M235" s="340">
        <v>249</v>
      </c>
      <c r="N235" s="390">
        <v>6</v>
      </c>
      <c r="O235" s="390">
        <v>1</v>
      </c>
      <c r="P235" s="390">
        <v>3</v>
      </c>
      <c r="Q235" s="391">
        <v>259</v>
      </c>
      <c r="R235" s="527">
        <v>98</v>
      </c>
      <c r="S235" s="370"/>
      <c r="T235" s="370"/>
    </row>
    <row r="236" spans="1:20" ht="15.75" customHeight="1" x14ac:dyDescent="0.35">
      <c r="A236" s="216" t="s">
        <v>70</v>
      </c>
    </row>
    <row r="239" spans="1:20" s="217" customFormat="1" ht="30" customHeight="1" thickBot="1" x14ac:dyDescent="0.35">
      <c r="A239" s="185" t="s">
        <v>586</v>
      </c>
    </row>
    <row r="240" spans="1:20" s="219" customFormat="1" ht="24" customHeight="1" thickBot="1" x14ac:dyDescent="0.4">
      <c r="A240" s="237"/>
      <c r="B240" s="238"/>
      <c r="C240" s="1696" t="s">
        <v>63</v>
      </c>
      <c r="D240" s="1697"/>
      <c r="E240" s="1697"/>
      <c r="F240" s="1697"/>
      <c r="G240" s="1698"/>
      <c r="H240" s="1696" t="s">
        <v>64</v>
      </c>
      <c r="I240" s="1697"/>
      <c r="J240" s="1697"/>
      <c r="K240" s="1697"/>
      <c r="L240" s="1698"/>
      <c r="M240" s="1696" t="s">
        <v>65</v>
      </c>
      <c r="N240" s="1697"/>
      <c r="O240" s="1697"/>
      <c r="P240" s="1697"/>
      <c r="Q240" s="1697"/>
      <c r="R240" s="1698"/>
    </row>
    <row r="241" spans="1:34" s="219" customFormat="1" ht="85.5" customHeight="1" thickBot="1" x14ac:dyDescent="0.4">
      <c r="A241" s="239" t="s">
        <v>2</v>
      </c>
      <c r="B241" s="220" t="s">
        <v>3</v>
      </c>
      <c r="C241" s="269" t="s">
        <v>66</v>
      </c>
      <c r="D241" s="266" t="s">
        <v>296</v>
      </c>
      <c r="E241" s="266" t="s">
        <v>297</v>
      </c>
      <c r="F241" s="266" t="s">
        <v>67</v>
      </c>
      <c r="G241" s="296" t="s">
        <v>68</v>
      </c>
      <c r="H241" s="286" t="s">
        <v>66</v>
      </c>
      <c r="I241" s="266" t="s">
        <v>296</v>
      </c>
      <c r="J241" s="266" t="s">
        <v>297</v>
      </c>
      <c r="K241" s="266" t="s">
        <v>67</v>
      </c>
      <c r="L241" s="296" t="s">
        <v>13</v>
      </c>
      <c r="M241" s="286" t="s">
        <v>66</v>
      </c>
      <c r="N241" s="266" t="s">
        <v>296</v>
      </c>
      <c r="O241" s="266" t="s">
        <v>297</v>
      </c>
      <c r="P241" s="266" t="s">
        <v>67</v>
      </c>
      <c r="Q241" s="296" t="s">
        <v>13</v>
      </c>
      <c r="R241" s="399" t="s">
        <v>69</v>
      </c>
    </row>
    <row r="242" spans="1:34" ht="20.25" customHeight="1" x14ac:dyDescent="0.35">
      <c r="A242" s="243">
        <v>1</v>
      </c>
      <c r="B242" s="222" t="s">
        <v>14</v>
      </c>
      <c r="C242" s="801">
        <v>12</v>
      </c>
      <c r="D242" s="802">
        <v>0</v>
      </c>
      <c r="E242" s="802">
        <v>0</v>
      </c>
      <c r="F242" s="1383">
        <v>0</v>
      </c>
      <c r="G242" s="375">
        <f t="shared" ref="G242:G256" si="68">SUM(C242:F242)</f>
        <v>12</v>
      </c>
      <c r="H242" s="801">
        <v>10</v>
      </c>
      <c r="I242" s="802">
        <v>0</v>
      </c>
      <c r="J242" s="802">
        <v>0</v>
      </c>
      <c r="K242" s="1383">
        <v>0</v>
      </c>
      <c r="L242" s="375">
        <f t="shared" ref="L242:L256" si="69">SUM(H242:K242)</f>
        <v>10</v>
      </c>
      <c r="M242" s="801">
        <f t="shared" ref="M242:M256" si="70">C242+H242</f>
        <v>22</v>
      </c>
      <c r="N242" s="802">
        <f t="shared" ref="N242:N256" si="71">D242+I242</f>
        <v>0</v>
      </c>
      <c r="O242" s="802">
        <f t="shared" ref="O242:O256" si="72">E242+J242</f>
        <v>0</v>
      </c>
      <c r="P242" s="1383">
        <f t="shared" ref="P242:P256" si="73">F242+K242</f>
        <v>0</v>
      </c>
      <c r="Q242" s="644">
        <f t="shared" ref="Q242:Q256" si="74">SUM(M242:P242)</f>
        <v>22</v>
      </c>
      <c r="R242" s="644">
        <v>22</v>
      </c>
      <c r="S242" s="370"/>
      <c r="T242" s="370"/>
    </row>
    <row r="243" spans="1:34" ht="15.75" customHeight="1" x14ac:dyDescent="0.35">
      <c r="A243" s="245">
        <v>2</v>
      </c>
      <c r="B243" s="224" t="s">
        <v>15</v>
      </c>
      <c r="C243" s="386">
        <v>2</v>
      </c>
      <c r="D243" s="377">
        <v>0</v>
      </c>
      <c r="E243" s="377">
        <v>0</v>
      </c>
      <c r="F243" s="1384">
        <v>0</v>
      </c>
      <c r="G243" s="379">
        <f t="shared" si="68"/>
        <v>2</v>
      </c>
      <c r="H243" s="386">
        <v>9</v>
      </c>
      <c r="I243" s="377">
        <v>0</v>
      </c>
      <c r="J243" s="377">
        <v>0</v>
      </c>
      <c r="K243" s="1384">
        <v>0</v>
      </c>
      <c r="L243" s="379">
        <f t="shared" si="69"/>
        <v>9</v>
      </c>
      <c r="M243" s="386">
        <f t="shared" si="70"/>
        <v>11</v>
      </c>
      <c r="N243" s="377">
        <f t="shared" si="71"/>
        <v>0</v>
      </c>
      <c r="O243" s="377">
        <f t="shared" si="72"/>
        <v>0</v>
      </c>
      <c r="P243" s="1384">
        <f t="shared" si="73"/>
        <v>0</v>
      </c>
      <c r="Q243" s="645">
        <f t="shared" si="74"/>
        <v>11</v>
      </c>
      <c r="R243" s="645">
        <v>0</v>
      </c>
      <c r="S243" s="370"/>
      <c r="T243" s="370"/>
    </row>
    <row r="244" spans="1:34" ht="15.75" customHeight="1" x14ac:dyDescent="0.35">
      <c r="A244" s="245">
        <v>3</v>
      </c>
      <c r="B244" s="224" t="s">
        <v>16</v>
      </c>
      <c r="C244" s="386">
        <v>5</v>
      </c>
      <c r="D244" s="377">
        <v>0</v>
      </c>
      <c r="E244" s="377">
        <v>0</v>
      </c>
      <c r="F244" s="1384">
        <v>0</v>
      </c>
      <c r="G244" s="379">
        <f t="shared" si="68"/>
        <v>5</v>
      </c>
      <c r="H244" s="386">
        <v>9</v>
      </c>
      <c r="I244" s="377">
        <v>0</v>
      </c>
      <c r="J244" s="377">
        <v>0</v>
      </c>
      <c r="K244" s="1384">
        <v>0</v>
      </c>
      <c r="L244" s="379">
        <f t="shared" si="69"/>
        <v>9</v>
      </c>
      <c r="M244" s="386">
        <f t="shared" si="70"/>
        <v>14</v>
      </c>
      <c r="N244" s="377">
        <f t="shared" si="71"/>
        <v>0</v>
      </c>
      <c r="O244" s="377">
        <f t="shared" si="72"/>
        <v>0</v>
      </c>
      <c r="P244" s="1384">
        <f t="shared" si="73"/>
        <v>0</v>
      </c>
      <c r="Q244" s="645">
        <f t="shared" si="74"/>
        <v>14</v>
      </c>
      <c r="R244" s="645">
        <v>6</v>
      </c>
      <c r="S244" s="370"/>
      <c r="T244" s="426"/>
      <c r="U244" s="425"/>
      <c r="V244" s="426"/>
      <c r="W244" s="426"/>
      <c r="X244" s="426"/>
      <c r="Y244" s="426"/>
      <c r="Z244" s="426"/>
      <c r="AA244" s="426"/>
      <c r="AB244" s="426"/>
      <c r="AC244" s="426"/>
      <c r="AD244" s="426"/>
      <c r="AE244" s="426"/>
      <c r="AF244" s="426"/>
      <c r="AG244" s="426"/>
      <c r="AH244" s="426"/>
    </row>
    <row r="245" spans="1:34" ht="15.75" customHeight="1" x14ac:dyDescent="0.35">
      <c r="A245" s="245">
        <v>4</v>
      </c>
      <c r="B245" s="224" t="s">
        <v>17</v>
      </c>
      <c r="C245" s="386">
        <v>2</v>
      </c>
      <c r="D245" s="377">
        <v>0</v>
      </c>
      <c r="E245" s="377">
        <v>0</v>
      </c>
      <c r="F245" s="1384">
        <v>0</v>
      </c>
      <c r="G245" s="379">
        <f t="shared" si="68"/>
        <v>2</v>
      </c>
      <c r="H245" s="386">
        <v>14</v>
      </c>
      <c r="I245" s="377">
        <v>0</v>
      </c>
      <c r="J245" s="377">
        <v>0</v>
      </c>
      <c r="K245" s="1384">
        <v>0</v>
      </c>
      <c r="L245" s="379">
        <f t="shared" si="69"/>
        <v>14</v>
      </c>
      <c r="M245" s="386">
        <f t="shared" si="70"/>
        <v>16</v>
      </c>
      <c r="N245" s="377">
        <f t="shared" si="71"/>
        <v>0</v>
      </c>
      <c r="O245" s="377">
        <f t="shared" si="72"/>
        <v>0</v>
      </c>
      <c r="P245" s="1384">
        <f t="shared" si="73"/>
        <v>0</v>
      </c>
      <c r="Q245" s="645">
        <f t="shared" si="74"/>
        <v>16</v>
      </c>
      <c r="R245" s="645">
        <v>15</v>
      </c>
      <c r="S245" s="370"/>
      <c r="T245" s="426"/>
      <c r="U245" s="425"/>
      <c r="V245" s="426"/>
      <c r="W245" s="426"/>
      <c r="X245" s="426"/>
      <c r="Y245" s="426"/>
      <c r="Z245" s="426"/>
      <c r="AA245" s="426"/>
      <c r="AB245" s="426"/>
      <c r="AC245" s="426"/>
      <c r="AD245" s="426"/>
      <c r="AE245" s="426"/>
      <c r="AF245" s="426"/>
      <c r="AG245" s="426"/>
      <c r="AH245" s="426"/>
    </row>
    <row r="246" spans="1:34" ht="15.75" customHeight="1" x14ac:dyDescent="0.35">
      <c r="A246" s="245">
        <v>5</v>
      </c>
      <c r="B246" s="224" t="s">
        <v>18</v>
      </c>
      <c r="C246" s="386">
        <v>1</v>
      </c>
      <c r="D246" s="377">
        <v>0</v>
      </c>
      <c r="E246" s="377">
        <v>0</v>
      </c>
      <c r="F246" s="1384">
        <v>0</v>
      </c>
      <c r="G246" s="379">
        <f t="shared" si="68"/>
        <v>1</v>
      </c>
      <c r="H246" s="386">
        <v>10</v>
      </c>
      <c r="I246" s="377">
        <v>0</v>
      </c>
      <c r="J246" s="377">
        <v>0</v>
      </c>
      <c r="K246" s="1384">
        <v>0</v>
      </c>
      <c r="L246" s="379">
        <f t="shared" si="69"/>
        <v>10</v>
      </c>
      <c r="M246" s="386">
        <f t="shared" si="70"/>
        <v>11</v>
      </c>
      <c r="N246" s="377">
        <f t="shared" si="71"/>
        <v>0</v>
      </c>
      <c r="O246" s="377">
        <f t="shared" si="72"/>
        <v>0</v>
      </c>
      <c r="P246" s="1384">
        <f t="shared" si="73"/>
        <v>0</v>
      </c>
      <c r="Q246" s="645">
        <f t="shared" si="74"/>
        <v>11</v>
      </c>
      <c r="R246" s="645">
        <v>0</v>
      </c>
      <c r="S246" s="370"/>
      <c r="T246" s="426"/>
      <c r="U246" s="425"/>
      <c r="V246" s="426"/>
      <c r="W246" s="426"/>
      <c r="X246" s="426"/>
      <c r="Y246" s="426"/>
      <c r="Z246" s="426"/>
      <c r="AA246" s="426"/>
      <c r="AB246" s="426"/>
      <c r="AC246" s="426"/>
      <c r="AD246" s="426"/>
      <c r="AE246" s="426"/>
      <c r="AF246" s="426"/>
      <c r="AG246" s="426"/>
      <c r="AH246" s="426"/>
    </row>
    <row r="247" spans="1:34" ht="15.75" customHeight="1" x14ac:dyDescent="0.35">
      <c r="A247" s="247">
        <v>6</v>
      </c>
      <c r="B247" s="226" t="s">
        <v>19</v>
      </c>
      <c r="C247" s="386">
        <v>1</v>
      </c>
      <c r="D247" s="377">
        <v>0</v>
      </c>
      <c r="E247" s="377">
        <v>0</v>
      </c>
      <c r="F247" s="1384">
        <v>0</v>
      </c>
      <c r="G247" s="379">
        <f t="shared" si="68"/>
        <v>1</v>
      </c>
      <c r="H247" s="386">
        <v>14</v>
      </c>
      <c r="I247" s="377">
        <v>0</v>
      </c>
      <c r="J247" s="377">
        <v>0</v>
      </c>
      <c r="K247" s="1384">
        <v>0</v>
      </c>
      <c r="L247" s="379">
        <f t="shared" si="69"/>
        <v>14</v>
      </c>
      <c r="M247" s="386">
        <f t="shared" si="70"/>
        <v>15</v>
      </c>
      <c r="N247" s="377">
        <f t="shared" si="71"/>
        <v>0</v>
      </c>
      <c r="O247" s="377">
        <f t="shared" si="72"/>
        <v>0</v>
      </c>
      <c r="P247" s="1384">
        <f t="shared" si="73"/>
        <v>0</v>
      </c>
      <c r="Q247" s="645">
        <f t="shared" si="74"/>
        <v>15</v>
      </c>
      <c r="R247" s="645">
        <v>0</v>
      </c>
      <c r="S247" s="370"/>
      <c r="T247" s="426"/>
      <c r="U247" s="425"/>
      <c r="V247" s="426"/>
      <c r="W247" s="426"/>
      <c r="X247" s="426"/>
      <c r="Y247" s="426"/>
      <c r="Z247" s="426"/>
      <c r="AA247" s="426"/>
      <c r="AB247" s="426"/>
      <c r="AC247" s="426"/>
      <c r="AD247" s="426"/>
      <c r="AE247" s="426"/>
      <c r="AF247" s="426"/>
      <c r="AG247" s="426"/>
      <c r="AH247" s="426"/>
    </row>
    <row r="248" spans="1:34" ht="15.75" customHeight="1" x14ac:dyDescent="0.35">
      <c r="A248" s="247">
        <v>7</v>
      </c>
      <c r="B248" s="226" t="s">
        <v>20</v>
      </c>
      <c r="C248" s="386">
        <v>4</v>
      </c>
      <c r="D248" s="377">
        <v>0</v>
      </c>
      <c r="E248" s="377">
        <v>0</v>
      </c>
      <c r="F248" s="1384">
        <v>0</v>
      </c>
      <c r="G248" s="379">
        <f t="shared" si="68"/>
        <v>4</v>
      </c>
      <c r="H248" s="386">
        <v>15</v>
      </c>
      <c r="I248" s="377">
        <v>0</v>
      </c>
      <c r="J248" s="377">
        <v>0</v>
      </c>
      <c r="K248" s="1384">
        <v>0</v>
      </c>
      <c r="L248" s="379">
        <f t="shared" si="69"/>
        <v>15</v>
      </c>
      <c r="M248" s="386">
        <f t="shared" si="70"/>
        <v>19</v>
      </c>
      <c r="N248" s="377">
        <f t="shared" si="71"/>
        <v>0</v>
      </c>
      <c r="O248" s="377">
        <f t="shared" si="72"/>
        <v>0</v>
      </c>
      <c r="P248" s="1384">
        <f t="shared" si="73"/>
        <v>0</v>
      </c>
      <c r="Q248" s="645">
        <f t="shared" si="74"/>
        <v>19</v>
      </c>
      <c r="R248" s="645">
        <v>1</v>
      </c>
      <c r="S248" s="370"/>
      <c r="T248" s="370"/>
    </row>
    <row r="249" spans="1:34" ht="15.75" customHeight="1" x14ac:dyDescent="0.35">
      <c r="A249" s="245">
        <v>8</v>
      </c>
      <c r="B249" s="224" t="s">
        <v>21</v>
      </c>
      <c r="C249" s="386">
        <v>7</v>
      </c>
      <c r="D249" s="377">
        <v>0</v>
      </c>
      <c r="E249" s="377">
        <v>0</v>
      </c>
      <c r="F249" s="1384">
        <v>0</v>
      </c>
      <c r="G249" s="379">
        <f t="shared" si="68"/>
        <v>7</v>
      </c>
      <c r="H249" s="386">
        <v>6</v>
      </c>
      <c r="I249" s="377">
        <v>0</v>
      </c>
      <c r="J249" s="377">
        <v>0</v>
      </c>
      <c r="K249" s="1384">
        <v>0</v>
      </c>
      <c r="L249" s="379">
        <f t="shared" si="69"/>
        <v>6</v>
      </c>
      <c r="M249" s="386">
        <f t="shared" si="70"/>
        <v>13</v>
      </c>
      <c r="N249" s="377">
        <f t="shared" si="71"/>
        <v>0</v>
      </c>
      <c r="O249" s="377">
        <f t="shared" si="72"/>
        <v>0</v>
      </c>
      <c r="P249" s="1384">
        <f t="shared" si="73"/>
        <v>0</v>
      </c>
      <c r="Q249" s="645">
        <f t="shared" si="74"/>
        <v>13</v>
      </c>
      <c r="R249" s="645">
        <v>16</v>
      </c>
      <c r="S249" s="370"/>
      <c r="T249" s="426"/>
      <c r="U249" s="425"/>
      <c r="V249" s="426"/>
      <c r="W249" s="426"/>
      <c r="X249" s="426"/>
      <c r="Y249" s="426"/>
      <c r="Z249" s="426"/>
      <c r="AA249" s="426"/>
      <c r="AB249" s="426"/>
      <c r="AC249" s="426"/>
      <c r="AD249" s="426"/>
      <c r="AE249" s="426"/>
      <c r="AF249" s="426"/>
      <c r="AG249" s="426"/>
      <c r="AH249" s="426"/>
    </row>
    <row r="250" spans="1:34" ht="18.75" customHeight="1" x14ac:dyDescent="0.35">
      <c r="A250" s="245">
        <v>9</v>
      </c>
      <c r="B250" s="224" t="s">
        <v>22</v>
      </c>
      <c r="C250" s="386">
        <v>5</v>
      </c>
      <c r="D250" s="377">
        <v>0</v>
      </c>
      <c r="E250" s="377">
        <v>0</v>
      </c>
      <c r="F250" s="1384">
        <v>0</v>
      </c>
      <c r="G250" s="379">
        <f t="shared" si="68"/>
        <v>5</v>
      </c>
      <c r="H250" s="386">
        <v>10</v>
      </c>
      <c r="I250" s="377">
        <v>0</v>
      </c>
      <c r="J250" s="377">
        <v>0</v>
      </c>
      <c r="K250" s="1384">
        <v>0</v>
      </c>
      <c r="L250" s="379">
        <f t="shared" si="69"/>
        <v>10</v>
      </c>
      <c r="M250" s="386">
        <f t="shared" si="70"/>
        <v>15</v>
      </c>
      <c r="N250" s="377">
        <f t="shared" si="71"/>
        <v>0</v>
      </c>
      <c r="O250" s="377">
        <f t="shared" si="72"/>
        <v>0</v>
      </c>
      <c r="P250" s="1384">
        <f t="shared" si="73"/>
        <v>0</v>
      </c>
      <c r="Q250" s="645">
        <f t="shared" si="74"/>
        <v>15</v>
      </c>
      <c r="R250" s="645">
        <v>15</v>
      </c>
      <c r="S250" s="370"/>
      <c r="T250" s="370"/>
    </row>
    <row r="251" spans="1:34" ht="15.75" customHeight="1" x14ac:dyDescent="0.35">
      <c r="A251" s="245">
        <v>10</v>
      </c>
      <c r="B251" s="224" t="s">
        <v>23</v>
      </c>
      <c r="C251" s="386">
        <v>5</v>
      </c>
      <c r="D251" s="377">
        <v>0</v>
      </c>
      <c r="E251" s="377">
        <v>0</v>
      </c>
      <c r="F251" s="1384">
        <v>0</v>
      </c>
      <c r="G251" s="379">
        <f t="shared" si="68"/>
        <v>5</v>
      </c>
      <c r="H251" s="386">
        <v>20</v>
      </c>
      <c r="I251" s="377">
        <v>0</v>
      </c>
      <c r="J251" s="377">
        <v>0</v>
      </c>
      <c r="K251" s="1384">
        <v>0</v>
      </c>
      <c r="L251" s="379">
        <f t="shared" si="69"/>
        <v>20</v>
      </c>
      <c r="M251" s="386">
        <f t="shared" si="70"/>
        <v>25</v>
      </c>
      <c r="N251" s="377">
        <f t="shared" si="71"/>
        <v>0</v>
      </c>
      <c r="O251" s="377">
        <f t="shared" si="72"/>
        <v>0</v>
      </c>
      <c r="P251" s="1384">
        <f t="shared" si="73"/>
        <v>0</v>
      </c>
      <c r="Q251" s="645">
        <f t="shared" si="74"/>
        <v>25</v>
      </c>
      <c r="R251" s="645">
        <v>21</v>
      </c>
      <c r="S251" s="370"/>
      <c r="T251" s="370"/>
    </row>
    <row r="252" spans="1:34" ht="15.75" customHeight="1" x14ac:dyDescent="0.35">
      <c r="A252" s="247">
        <v>11</v>
      </c>
      <c r="B252" s="226" t="s">
        <v>24</v>
      </c>
      <c r="C252" s="386">
        <v>2</v>
      </c>
      <c r="D252" s="377">
        <v>0</v>
      </c>
      <c r="E252" s="377">
        <v>0</v>
      </c>
      <c r="F252" s="1384">
        <v>0</v>
      </c>
      <c r="G252" s="379">
        <f t="shared" si="68"/>
        <v>2</v>
      </c>
      <c r="H252" s="386">
        <v>1</v>
      </c>
      <c r="I252" s="377">
        <v>0</v>
      </c>
      <c r="J252" s="377">
        <v>0</v>
      </c>
      <c r="K252" s="1384">
        <v>0</v>
      </c>
      <c r="L252" s="379">
        <f t="shared" si="69"/>
        <v>1</v>
      </c>
      <c r="M252" s="386">
        <f t="shared" si="70"/>
        <v>3</v>
      </c>
      <c r="N252" s="377">
        <f t="shared" si="71"/>
        <v>0</v>
      </c>
      <c r="O252" s="377">
        <f t="shared" si="72"/>
        <v>0</v>
      </c>
      <c r="P252" s="1384">
        <f t="shared" si="73"/>
        <v>0</v>
      </c>
      <c r="Q252" s="645">
        <f t="shared" si="74"/>
        <v>3</v>
      </c>
      <c r="R252" s="645">
        <v>0</v>
      </c>
      <c r="S252" s="370"/>
      <c r="T252" s="370"/>
    </row>
    <row r="253" spans="1:34" ht="15.75" customHeight="1" x14ac:dyDescent="0.35">
      <c r="A253" s="245">
        <v>12</v>
      </c>
      <c r="B253" s="224" t="s">
        <v>25</v>
      </c>
      <c r="C253" s="386">
        <v>0</v>
      </c>
      <c r="D253" s="377">
        <v>0</v>
      </c>
      <c r="E253" s="377">
        <v>0</v>
      </c>
      <c r="F253" s="1384">
        <v>0</v>
      </c>
      <c r="G253" s="379">
        <f t="shared" si="68"/>
        <v>0</v>
      </c>
      <c r="H253" s="386">
        <v>3</v>
      </c>
      <c r="I253" s="377">
        <v>0</v>
      </c>
      <c r="J253" s="377">
        <v>0</v>
      </c>
      <c r="K253" s="1384">
        <v>0</v>
      </c>
      <c r="L253" s="379">
        <f t="shared" si="69"/>
        <v>3</v>
      </c>
      <c r="M253" s="386">
        <f t="shared" si="70"/>
        <v>3</v>
      </c>
      <c r="N253" s="377">
        <f t="shared" si="71"/>
        <v>0</v>
      </c>
      <c r="O253" s="377">
        <f t="shared" si="72"/>
        <v>0</v>
      </c>
      <c r="P253" s="1384">
        <f t="shared" si="73"/>
        <v>0</v>
      </c>
      <c r="Q253" s="645">
        <f t="shared" si="74"/>
        <v>3</v>
      </c>
      <c r="R253" s="645">
        <v>3</v>
      </c>
      <c r="S253" s="370"/>
      <c r="T253" s="370"/>
      <c r="Z253" s="368" t="s">
        <v>108</v>
      </c>
    </row>
    <row r="254" spans="1:34" ht="15.75" customHeight="1" x14ac:dyDescent="0.35">
      <c r="A254" s="245">
        <v>13</v>
      </c>
      <c r="B254" s="224" t="s">
        <v>26</v>
      </c>
      <c r="C254" s="386">
        <v>5</v>
      </c>
      <c r="D254" s="377">
        <v>0</v>
      </c>
      <c r="E254" s="377">
        <v>0</v>
      </c>
      <c r="F254" s="1384">
        <v>0</v>
      </c>
      <c r="G254" s="379">
        <f t="shared" si="68"/>
        <v>5</v>
      </c>
      <c r="H254" s="386">
        <v>14</v>
      </c>
      <c r="I254" s="377">
        <v>0</v>
      </c>
      <c r="J254" s="377">
        <v>0</v>
      </c>
      <c r="K254" s="1384">
        <v>0</v>
      </c>
      <c r="L254" s="379">
        <f t="shared" si="69"/>
        <v>14</v>
      </c>
      <c r="M254" s="386">
        <f t="shared" si="70"/>
        <v>19</v>
      </c>
      <c r="N254" s="377">
        <f t="shared" si="71"/>
        <v>0</v>
      </c>
      <c r="O254" s="377">
        <f t="shared" si="72"/>
        <v>0</v>
      </c>
      <c r="P254" s="1384">
        <f t="shared" si="73"/>
        <v>0</v>
      </c>
      <c r="Q254" s="645">
        <f t="shared" si="74"/>
        <v>19</v>
      </c>
      <c r="R254" s="645">
        <v>14</v>
      </c>
      <c r="S254" s="370"/>
      <c r="T254" s="370"/>
    </row>
    <row r="255" spans="1:34" ht="15.75" customHeight="1" x14ac:dyDescent="0.35">
      <c r="A255" s="245">
        <v>14</v>
      </c>
      <c r="B255" s="224" t="s">
        <v>27</v>
      </c>
      <c r="C255" s="386">
        <v>4</v>
      </c>
      <c r="D255" s="377">
        <v>0</v>
      </c>
      <c r="E255" s="377">
        <v>0</v>
      </c>
      <c r="F255" s="1384">
        <v>0</v>
      </c>
      <c r="G255" s="379">
        <f t="shared" si="68"/>
        <v>4</v>
      </c>
      <c r="H255" s="386">
        <v>10</v>
      </c>
      <c r="I255" s="377">
        <v>0</v>
      </c>
      <c r="J255" s="377">
        <v>0</v>
      </c>
      <c r="K255" s="1384">
        <v>0</v>
      </c>
      <c r="L255" s="379">
        <f t="shared" si="69"/>
        <v>10</v>
      </c>
      <c r="M255" s="386">
        <f t="shared" si="70"/>
        <v>14</v>
      </c>
      <c r="N255" s="377">
        <f t="shared" si="71"/>
        <v>0</v>
      </c>
      <c r="O255" s="377">
        <f t="shared" si="72"/>
        <v>0</v>
      </c>
      <c r="P255" s="1384">
        <f t="shared" si="73"/>
        <v>0</v>
      </c>
      <c r="Q255" s="645">
        <f t="shared" si="74"/>
        <v>14</v>
      </c>
      <c r="R255" s="645">
        <v>13</v>
      </c>
      <c r="S255" s="370"/>
      <c r="T255" s="370"/>
    </row>
    <row r="256" spans="1:34" ht="33" customHeight="1" thickBot="1" x14ac:dyDescent="0.4">
      <c r="A256" s="248">
        <v>15</v>
      </c>
      <c r="B256" s="227" t="s">
        <v>28</v>
      </c>
      <c r="C256" s="389">
        <v>1</v>
      </c>
      <c r="D256" s="390">
        <v>0</v>
      </c>
      <c r="E256" s="390">
        <v>0</v>
      </c>
      <c r="F256" s="1385">
        <v>0</v>
      </c>
      <c r="G256" s="381">
        <f t="shared" si="68"/>
        <v>1</v>
      </c>
      <c r="H256" s="389">
        <v>2</v>
      </c>
      <c r="I256" s="390">
        <v>0</v>
      </c>
      <c r="J256" s="390">
        <v>0</v>
      </c>
      <c r="K256" s="1385">
        <v>0</v>
      </c>
      <c r="L256" s="381">
        <f t="shared" si="69"/>
        <v>2</v>
      </c>
      <c r="M256" s="389">
        <f t="shared" si="70"/>
        <v>3</v>
      </c>
      <c r="N256" s="390">
        <f t="shared" si="71"/>
        <v>0</v>
      </c>
      <c r="O256" s="390">
        <f t="shared" si="72"/>
        <v>0</v>
      </c>
      <c r="P256" s="1385">
        <f t="shared" si="73"/>
        <v>0</v>
      </c>
      <c r="Q256" s="646">
        <f t="shared" si="74"/>
        <v>3</v>
      </c>
      <c r="R256" s="646">
        <v>0</v>
      </c>
      <c r="S256" s="370"/>
      <c r="T256" s="370"/>
    </row>
    <row r="257" spans="1:21" s="418" customFormat="1" ht="20.25" customHeight="1" x14ac:dyDescent="0.35">
      <c r="A257" s="320"/>
      <c r="B257" s="321" t="s">
        <v>543</v>
      </c>
      <c r="C257" s="322">
        <f t="shared" ref="C257:R257" si="75">SUM(C242:C256)</f>
        <v>56</v>
      </c>
      <c r="D257" s="323">
        <f t="shared" si="75"/>
        <v>0</v>
      </c>
      <c r="E257" s="323">
        <f t="shared" si="75"/>
        <v>0</v>
      </c>
      <c r="F257" s="323">
        <f t="shared" si="75"/>
        <v>0</v>
      </c>
      <c r="G257" s="324">
        <f t="shared" si="75"/>
        <v>56</v>
      </c>
      <c r="H257" s="322">
        <f t="shared" si="75"/>
        <v>147</v>
      </c>
      <c r="I257" s="323">
        <f t="shared" si="75"/>
        <v>0</v>
      </c>
      <c r="J257" s="323">
        <f t="shared" si="75"/>
        <v>0</v>
      </c>
      <c r="K257" s="323">
        <f t="shared" si="75"/>
        <v>0</v>
      </c>
      <c r="L257" s="324">
        <f t="shared" si="75"/>
        <v>147</v>
      </c>
      <c r="M257" s="322">
        <f t="shared" si="75"/>
        <v>203</v>
      </c>
      <c r="N257" s="323">
        <f t="shared" si="75"/>
        <v>0</v>
      </c>
      <c r="O257" s="323">
        <f t="shared" si="75"/>
        <v>0</v>
      </c>
      <c r="P257" s="323">
        <f t="shared" si="75"/>
        <v>0</v>
      </c>
      <c r="Q257" s="324">
        <f t="shared" si="75"/>
        <v>203</v>
      </c>
      <c r="R257" s="325">
        <f t="shared" si="75"/>
        <v>126</v>
      </c>
      <c r="S257" s="326"/>
      <c r="T257" s="326"/>
    </row>
    <row r="258" spans="1:21" s="418" customFormat="1" ht="20.25" customHeight="1" x14ac:dyDescent="0.35">
      <c r="A258" s="1374"/>
      <c r="B258" s="226" t="s">
        <v>454</v>
      </c>
      <c r="C258" s="1375">
        <v>41</v>
      </c>
      <c r="D258" s="1376">
        <v>0</v>
      </c>
      <c r="E258" s="1376">
        <v>0</v>
      </c>
      <c r="F258" s="1376">
        <v>0</v>
      </c>
      <c r="G258" s="1377">
        <v>41</v>
      </c>
      <c r="H258" s="1375">
        <v>130</v>
      </c>
      <c r="I258" s="1376">
        <v>0</v>
      </c>
      <c r="J258" s="1376">
        <v>0</v>
      </c>
      <c r="K258" s="1376">
        <v>1</v>
      </c>
      <c r="L258" s="1378">
        <v>131</v>
      </c>
      <c r="M258" s="1375">
        <v>171</v>
      </c>
      <c r="N258" s="1376">
        <v>0</v>
      </c>
      <c r="O258" s="1376">
        <v>0</v>
      </c>
      <c r="P258" s="1376">
        <v>1</v>
      </c>
      <c r="Q258" s="379">
        <v>172</v>
      </c>
      <c r="R258" s="526">
        <v>124</v>
      </c>
      <c r="S258" s="326"/>
      <c r="T258" s="326"/>
    </row>
    <row r="259" spans="1:21" ht="20.25" customHeight="1" x14ac:dyDescent="0.35">
      <c r="A259" s="223"/>
      <c r="B259" s="224" t="s">
        <v>414</v>
      </c>
      <c r="C259" s="376">
        <v>44</v>
      </c>
      <c r="D259" s="377">
        <v>2</v>
      </c>
      <c r="E259" s="377">
        <v>0</v>
      </c>
      <c r="F259" s="377">
        <v>0</v>
      </c>
      <c r="G259" s="379">
        <v>46</v>
      </c>
      <c r="H259" s="376">
        <v>147</v>
      </c>
      <c r="I259" s="377">
        <v>1</v>
      </c>
      <c r="J259" s="377">
        <v>0</v>
      </c>
      <c r="K259" s="377">
        <v>3</v>
      </c>
      <c r="L259" s="378">
        <v>151</v>
      </c>
      <c r="M259" s="376">
        <v>191</v>
      </c>
      <c r="N259" s="377">
        <v>3</v>
      </c>
      <c r="O259" s="377">
        <v>0</v>
      </c>
      <c r="P259" s="377">
        <v>3</v>
      </c>
      <c r="Q259" s="379">
        <v>197</v>
      </c>
      <c r="R259" s="526">
        <v>120</v>
      </c>
      <c r="S259" s="370"/>
      <c r="T259" s="370"/>
    </row>
    <row r="260" spans="1:21" ht="20.25" customHeight="1" x14ac:dyDescent="0.35">
      <c r="A260" s="223"/>
      <c r="B260" s="224" t="s">
        <v>366</v>
      </c>
      <c r="C260" s="376">
        <v>38</v>
      </c>
      <c r="D260" s="377">
        <v>0</v>
      </c>
      <c r="E260" s="377">
        <v>0</v>
      </c>
      <c r="F260" s="377">
        <v>0</v>
      </c>
      <c r="G260" s="379">
        <v>38</v>
      </c>
      <c r="H260" s="376">
        <v>158</v>
      </c>
      <c r="I260" s="377">
        <v>1</v>
      </c>
      <c r="J260" s="377">
        <v>0</v>
      </c>
      <c r="K260" s="377">
        <v>1</v>
      </c>
      <c r="L260" s="378">
        <v>160</v>
      </c>
      <c r="M260" s="376">
        <v>196</v>
      </c>
      <c r="N260" s="377">
        <v>1</v>
      </c>
      <c r="O260" s="377">
        <v>0</v>
      </c>
      <c r="P260" s="377">
        <v>1</v>
      </c>
      <c r="Q260" s="379">
        <v>198</v>
      </c>
      <c r="R260" s="526">
        <v>111</v>
      </c>
      <c r="S260" s="370"/>
      <c r="T260" s="370"/>
    </row>
    <row r="261" spans="1:21" ht="20.25" customHeight="1" thickBot="1" x14ac:dyDescent="0.4">
      <c r="A261" s="338"/>
      <c r="B261" s="339" t="s">
        <v>333</v>
      </c>
      <c r="C261" s="340">
        <v>39</v>
      </c>
      <c r="D261" s="390">
        <v>0</v>
      </c>
      <c r="E261" s="390">
        <v>0</v>
      </c>
      <c r="F261" s="390">
        <v>0</v>
      </c>
      <c r="G261" s="391">
        <v>39</v>
      </c>
      <c r="H261" s="340">
        <v>150</v>
      </c>
      <c r="I261" s="390">
        <v>1</v>
      </c>
      <c r="J261" s="390">
        <v>0</v>
      </c>
      <c r="K261" s="390">
        <v>1</v>
      </c>
      <c r="L261" s="797">
        <v>152</v>
      </c>
      <c r="M261" s="340">
        <v>189</v>
      </c>
      <c r="N261" s="390">
        <v>1</v>
      </c>
      <c r="O261" s="390">
        <v>0</v>
      </c>
      <c r="P261" s="390">
        <v>1</v>
      </c>
      <c r="Q261" s="391">
        <v>191</v>
      </c>
      <c r="R261" s="527">
        <v>102</v>
      </c>
      <c r="S261" s="370"/>
      <c r="T261" s="370"/>
    </row>
    <row r="262" spans="1:21" ht="15.75" customHeight="1" x14ac:dyDescent="0.35">
      <c r="A262" s="216" t="s">
        <v>70</v>
      </c>
    </row>
    <row r="263" spans="1:21" ht="15.75" customHeight="1" x14ac:dyDescent="0.35">
      <c r="A263" s="647" t="s">
        <v>332</v>
      </c>
    </row>
    <row r="264" spans="1:21" ht="15.75" customHeight="1" x14ac:dyDescent="0.35">
      <c r="A264" s="647"/>
    </row>
    <row r="265" spans="1:21" ht="18.75" customHeight="1" x14ac:dyDescent="0.35">
      <c r="A265" s="216"/>
    </row>
    <row r="266" spans="1:21" ht="32.25" customHeight="1" thickBot="1" x14ac:dyDescent="0.4">
      <c r="A266" s="185" t="s">
        <v>585</v>
      </c>
      <c r="B266" s="217"/>
      <c r="C266" s="217"/>
      <c r="D266" s="217"/>
      <c r="E266" s="217"/>
      <c r="F266" s="217"/>
      <c r="G266" s="217"/>
      <c r="H266" s="217"/>
      <c r="I266" s="217"/>
      <c r="J266" s="217"/>
      <c r="K266" s="217"/>
      <c r="L266" s="217"/>
      <c r="M266" s="217"/>
      <c r="N266" s="217"/>
      <c r="O266" s="217"/>
      <c r="P266" s="217"/>
      <c r="Q266" s="217"/>
      <c r="R266" s="217"/>
    </row>
    <row r="267" spans="1:21" ht="24" customHeight="1" thickBot="1" x14ac:dyDescent="0.4">
      <c r="A267" s="237"/>
      <c r="B267" s="238"/>
      <c r="C267" s="1696" t="s">
        <v>63</v>
      </c>
      <c r="D267" s="1697"/>
      <c r="E267" s="1697"/>
      <c r="F267" s="1697"/>
      <c r="G267" s="1698"/>
      <c r="H267" s="1696" t="s">
        <v>64</v>
      </c>
      <c r="I267" s="1697"/>
      <c r="J267" s="1697"/>
      <c r="K267" s="1697"/>
      <c r="L267" s="1698"/>
      <c r="M267" s="1696" t="s">
        <v>65</v>
      </c>
      <c r="N267" s="1697"/>
      <c r="O267" s="1697"/>
      <c r="P267" s="1697"/>
      <c r="Q267" s="1697"/>
      <c r="R267" s="1698"/>
    </row>
    <row r="268" spans="1:21" ht="87" customHeight="1" thickBot="1" x14ac:dyDescent="0.4">
      <c r="A268" s="239" t="s">
        <v>2</v>
      </c>
      <c r="B268" s="220" t="s">
        <v>3</v>
      </c>
      <c r="C268" s="269" t="s">
        <v>66</v>
      </c>
      <c r="D268" s="266" t="s">
        <v>296</v>
      </c>
      <c r="E268" s="266" t="s">
        <v>297</v>
      </c>
      <c r="F268" s="266" t="s">
        <v>67</v>
      </c>
      <c r="G268" s="296" t="s">
        <v>68</v>
      </c>
      <c r="H268" s="286" t="s">
        <v>66</v>
      </c>
      <c r="I268" s="266" t="s">
        <v>296</v>
      </c>
      <c r="J268" s="266" t="s">
        <v>297</v>
      </c>
      <c r="K268" s="266" t="s">
        <v>67</v>
      </c>
      <c r="L268" s="296" t="s">
        <v>13</v>
      </c>
      <c r="M268" s="286" t="s">
        <v>66</v>
      </c>
      <c r="N268" s="266" t="s">
        <v>296</v>
      </c>
      <c r="O268" s="266" t="s">
        <v>297</v>
      </c>
      <c r="P268" s="266" t="s">
        <v>67</v>
      </c>
      <c r="Q268" s="296" t="s">
        <v>13</v>
      </c>
      <c r="R268" s="399" t="s">
        <v>69</v>
      </c>
    </row>
    <row r="269" spans="1:21" ht="18" customHeight="1" x14ac:dyDescent="0.35">
      <c r="A269" s="243">
        <v>1</v>
      </c>
      <c r="B269" s="222" t="s">
        <v>14</v>
      </c>
      <c r="C269" s="801">
        <v>2</v>
      </c>
      <c r="D269" s="802">
        <v>0</v>
      </c>
      <c r="E269" s="802">
        <v>0</v>
      </c>
      <c r="F269" s="1383">
        <v>0</v>
      </c>
      <c r="G269" s="375">
        <f t="shared" ref="G269:G283" si="76">SUM(C269:F269)</f>
        <v>2</v>
      </c>
      <c r="H269" s="801">
        <v>11</v>
      </c>
      <c r="I269" s="802">
        <v>1</v>
      </c>
      <c r="J269" s="802">
        <v>0</v>
      </c>
      <c r="K269" s="1383">
        <v>0</v>
      </c>
      <c r="L269" s="375">
        <f t="shared" ref="L269:L283" si="77">SUM(H269:K269)</f>
        <v>12</v>
      </c>
      <c r="M269" s="801">
        <v>5</v>
      </c>
      <c r="N269" s="802">
        <f t="shared" ref="N269:N283" si="78">D269+I269</f>
        <v>1</v>
      </c>
      <c r="O269" s="802">
        <f t="shared" ref="O269:O283" si="79">E269+J269</f>
        <v>0</v>
      </c>
      <c r="P269" s="1383">
        <f t="shared" ref="P269:P283" si="80">F269+K269</f>
        <v>0</v>
      </c>
      <c r="Q269" s="644">
        <f t="shared" ref="Q269:Q283" si="81">SUM(M269:P269)</f>
        <v>6</v>
      </c>
      <c r="R269" s="644">
        <v>0</v>
      </c>
    </row>
    <row r="270" spans="1:21" ht="15.75" customHeight="1" x14ac:dyDescent="0.35">
      <c r="A270" s="245">
        <v>2</v>
      </c>
      <c r="B270" s="224" t="s">
        <v>15</v>
      </c>
      <c r="C270" s="386">
        <v>0</v>
      </c>
      <c r="D270" s="377">
        <v>0</v>
      </c>
      <c r="E270" s="377">
        <v>0</v>
      </c>
      <c r="F270" s="1384">
        <v>0</v>
      </c>
      <c r="G270" s="379">
        <f t="shared" si="76"/>
        <v>0</v>
      </c>
      <c r="H270" s="386">
        <v>7</v>
      </c>
      <c r="I270" s="377">
        <v>0</v>
      </c>
      <c r="J270" s="377">
        <v>0</v>
      </c>
      <c r="K270" s="1384">
        <v>0</v>
      </c>
      <c r="L270" s="379">
        <f t="shared" si="77"/>
        <v>7</v>
      </c>
      <c r="M270" s="386">
        <f t="shared" ref="M270:M283" si="82">C270+H270</f>
        <v>7</v>
      </c>
      <c r="N270" s="377">
        <f t="shared" si="78"/>
        <v>0</v>
      </c>
      <c r="O270" s="377">
        <f t="shared" si="79"/>
        <v>0</v>
      </c>
      <c r="P270" s="1384">
        <f t="shared" si="80"/>
        <v>0</v>
      </c>
      <c r="Q270" s="645">
        <f t="shared" si="81"/>
        <v>7</v>
      </c>
      <c r="R270" s="645">
        <v>0</v>
      </c>
    </row>
    <row r="271" spans="1:21" ht="15.75" customHeight="1" x14ac:dyDescent="0.35">
      <c r="A271" s="245">
        <v>3</v>
      </c>
      <c r="B271" s="224" t="s">
        <v>16</v>
      </c>
      <c r="C271" s="386">
        <v>1</v>
      </c>
      <c r="D271" s="377">
        <v>0</v>
      </c>
      <c r="E271" s="377">
        <v>0</v>
      </c>
      <c r="F271" s="1384">
        <v>0</v>
      </c>
      <c r="G271" s="379">
        <f t="shared" si="76"/>
        <v>1</v>
      </c>
      <c r="H271" s="386">
        <v>4</v>
      </c>
      <c r="I271" s="377">
        <v>0</v>
      </c>
      <c r="J271" s="377">
        <v>0</v>
      </c>
      <c r="K271" s="1384">
        <v>0</v>
      </c>
      <c r="L271" s="379">
        <f t="shared" si="77"/>
        <v>4</v>
      </c>
      <c r="M271" s="386">
        <f t="shared" si="82"/>
        <v>5</v>
      </c>
      <c r="N271" s="377">
        <f t="shared" si="78"/>
        <v>0</v>
      </c>
      <c r="O271" s="377">
        <f t="shared" si="79"/>
        <v>0</v>
      </c>
      <c r="P271" s="1384">
        <f t="shared" si="80"/>
        <v>0</v>
      </c>
      <c r="Q271" s="645">
        <f t="shared" si="81"/>
        <v>5</v>
      </c>
      <c r="R271" s="645">
        <v>4</v>
      </c>
    </row>
    <row r="272" spans="1:21" ht="15.75" customHeight="1" x14ac:dyDescent="0.35">
      <c r="A272" s="245">
        <v>4</v>
      </c>
      <c r="B272" s="224" t="s">
        <v>17</v>
      </c>
      <c r="C272" s="386">
        <v>2</v>
      </c>
      <c r="D272" s="377">
        <v>0</v>
      </c>
      <c r="E272" s="377">
        <v>0</v>
      </c>
      <c r="F272" s="1384">
        <v>0</v>
      </c>
      <c r="G272" s="379">
        <f t="shared" si="76"/>
        <v>2</v>
      </c>
      <c r="H272" s="386">
        <v>16</v>
      </c>
      <c r="I272" s="377">
        <v>0</v>
      </c>
      <c r="J272" s="377">
        <v>0</v>
      </c>
      <c r="K272" s="1384">
        <v>0</v>
      </c>
      <c r="L272" s="379">
        <f t="shared" si="77"/>
        <v>16</v>
      </c>
      <c r="M272" s="386">
        <f t="shared" si="82"/>
        <v>18</v>
      </c>
      <c r="N272" s="377">
        <f t="shared" si="78"/>
        <v>0</v>
      </c>
      <c r="O272" s="377">
        <f t="shared" si="79"/>
        <v>0</v>
      </c>
      <c r="P272" s="1384">
        <f t="shared" si="80"/>
        <v>0</v>
      </c>
      <c r="Q272" s="645">
        <f t="shared" si="81"/>
        <v>18</v>
      </c>
      <c r="R272" s="645">
        <v>14</v>
      </c>
      <c r="U272" s="368" t="s">
        <v>108</v>
      </c>
    </row>
    <row r="273" spans="1:25" ht="15.75" customHeight="1" x14ac:dyDescent="0.35">
      <c r="A273" s="245">
        <v>5</v>
      </c>
      <c r="B273" s="224" t="s">
        <v>18</v>
      </c>
      <c r="C273" s="386">
        <v>3</v>
      </c>
      <c r="D273" s="377">
        <v>0</v>
      </c>
      <c r="E273" s="377">
        <v>0</v>
      </c>
      <c r="F273" s="1384">
        <v>0</v>
      </c>
      <c r="G273" s="379">
        <f t="shared" si="76"/>
        <v>3</v>
      </c>
      <c r="H273" s="386">
        <v>2</v>
      </c>
      <c r="I273" s="377">
        <v>0</v>
      </c>
      <c r="J273" s="377">
        <v>0</v>
      </c>
      <c r="K273" s="1384">
        <v>0</v>
      </c>
      <c r="L273" s="379">
        <f t="shared" si="77"/>
        <v>2</v>
      </c>
      <c r="M273" s="386">
        <f t="shared" si="82"/>
        <v>5</v>
      </c>
      <c r="N273" s="377">
        <f t="shared" si="78"/>
        <v>0</v>
      </c>
      <c r="O273" s="377">
        <f t="shared" si="79"/>
        <v>0</v>
      </c>
      <c r="P273" s="1384">
        <f t="shared" si="80"/>
        <v>0</v>
      </c>
      <c r="Q273" s="645">
        <f t="shared" si="81"/>
        <v>5</v>
      </c>
      <c r="R273" s="645">
        <v>0</v>
      </c>
      <c r="Y273" s="368" t="s">
        <v>108</v>
      </c>
    </row>
    <row r="274" spans="1:25" ht="15.75" customHeight="1" x14ac:dyDescent="0.35">
      <c r="A274" s="247">
        <v>6</v>
      </c>
      <c r="B274" s="226" t="s">
        <v>19</v>
      </c>
      <c r="C274" s="386">
        <v>1</v>
      </c>
      <c r="D274" s="377">
        <v>0</v>
      </c>
      <c r="E274" s="377">
        <v>0</v>
      </c>
      <c r="F274" s="1384">
        <v>0</v>
      </c>
      <c r="G274" s="379">
        <f t="shared" si="76"/>
        <v>1</v>
      </c>
      <c r="H274" s="386">
        <v>2</v>
      </c>
      <c r="I274" s="377">
        <v>0</v>
      </c>
      <c r="J274" s="377">
        <v>0</v>
      </c>
      <c r="K274" s="1384">
        <v>0</v>
      </c>
      <c r="L274" s="379">
        <f t="shared" si="77"/>
        <v>2</v>
      </c>
      <c r="M274" s="386">
        <f t="shared" si="82"/>
        <v>3</v>
      </c>
      <c r="N274" s="377">
        <f t="shared" si="78"/>
        <v>0</v>
      </c>
      <c r="O274" s="377">
        <f t="shared" si="79"/>
        <v>0</v>
      </c>
      <c r="P274" s="1384">
        <f t="shared" si="80"/>
        <v>0</v>
      </c>
      <c r="Q274" s="645">
        <f t="shared" si="81"/>
        <v>3</v>
      </c>
      <c r="R274" s="645">
        <v>0</v>
      </c>
    </row>
    <row r="275" spans="1:25" ht="15.75" customHeight="1" x14ac:dyDescent="0.35">
      <c r="A275" s="247">
        <v>7</v>
      </c>
      <c r="B275" s="226" t="s">
        <v>20</v>
      </c>
      <c r="C275" s="386">
        <v>0</v>
      </c>
      <c r="D275" s="377">
        <v>0</v>
      </c>
      <c r="E275" s="377">
        <v>0</v>
      </c>
      <c r="F275" s="1384">
        <v>0</v>
      </c>
      <c r="G275" s="379">
        <f t="shared" si="76"/>
        <v>0</v>
      </c>
      <c r="H275" s="386">
        <v>0</v>
      </c>
      <c r="I275" s="377">
        <v>0</v>
      </c>
      <c r="J275" s="377">
        <v>0</v>
      </c>
      <c r="K275" s="1384">
        <v>0</v>
      </c>
      <c r="L275" s="379">
        <f t="shared" si="77"/>
        <v>0</v>
      </c>
      <c r="M275" s="386">
        <f t="shared" si="82"/>
        <v>0</v>
      </c>
      <c r="N275" s="377">
        <f t="shared" si="78"/>
        <v>0</v>
      </c>
      <c r="O275" s="377">
        <f t="shared" si="79"/>
        <v>0</v>
      </c>
      <c r="P275" s="1384">
        <f t="shared" si="80"/>
        <v>0</v>
      </c>
      <c r="Q275" s="645">
        <f t="shared" si="81"/>
        <v>0</v>
      </c>
      <c r="R275" s="645">
        <v>0</v>
      </c>
    </row>
    <row r="276" spans="1:25" ht="15.75" customHeight="1" x14ac:dyDescent="0.35">
      <c r="A276" s="245">
        <v>8</v>
      </c>
      <c r="B276" s="224" t="s">
        <v>21</v>
      </c>
      <c r="C276" s="386">
        <v>2</v>
      </c>
      <c r="D276" s="377">
        <v>0</v>
      </c>
      <c r="E276" s="377">
        <v>0</v>
      </c>
      <c r="F276" s="1384">
        <v>0</v>
      </c>
      <c r="G276" s="379">
        <f t="shared" si="76"/>
        <v>2</v>
      </c>
      <c r="H276" s="386">
        <v>12</v>
      </c>
      <c r="I276" s="377">
        <v>0</v>
      </c>
      <c r="J276" s="377">
        <v>0</v>
      </c>
      <c r="K276" s="1384">
        <v>0</v>
      </c>
      <c r="L276" s="379">
        <f t="shared" si="77"/>
        <v>12</v>
      </c>
      <c r="M276" s="386">
        <f t="shared" si="82"/>
        <v>14</v>
      </c>
      <c r="N276" s="377">
        <f t="shared" si="78"/>
        <v>0</v>
      </c>
      <c r="O276" s="377">
        <f t="shared" si="79"/>
        <v>0</v>
      </c>
      <c r="P276" s="1384">
        <f t="shared" si="80"/>
        <v>0</v>
      </c>
      <c r="Q276" s="645">
        <f t="shared" si="81"/>
        <v>14</v>
      </c>
      <c r="R276" s="645">
        <v>14</v>
      </c>
    </row>
    <row r="277" spans="1:25" ht="15.75" customHeight="1" x14ac:dyDescent="0.35">
      <c r="A277" s="245">
        <v>9</v>
      </c>
      <c r="B277" s="224" t="s">
        <v>22</v>
      </c>
      <c r="C277" s="386">
        <v>1</v>
      </c>
      <c r="D277" s="377">
        <v>0</v>
      </c>
      <c r="E277" s="377">
        <v>0</v>
      </c>
      <c r="F277" s="1384">
        <v>0</v>
      </c>
      <c r="G277" s="379">
        <f t="shared" si="76"/>
        <v>1</v>
      </c>
      <c r="H277" s="386">
        <v>2</v>
      </c>
      <c r="I277" s="377">
        <v>0</v>
      </c>
      <c r="J277" s="377">
        <v>0</v>
      </c>
      <c r="K277" s="1384">
        <v>0</v>
      </c>
      <c r="L277" s="379">
        <f t="shared" si="77"/>
        <v>2</v>
      </c>
      <c r="M277" s="386">
        <f t="shared" si="82"/>
        <v>3</v>
      </c>
      <c r="N277" s="377">
        <f t="shared" si="78"/>
        <v>0</v>
      </c>
      <c r="O277" s="377">
        <f t="shared" si="79"/>
        <v>0</v>
      </c>
      <c r="P277" s="1384">
        <f t="shared" si="80"/>
        <v>0</v>
      </c>
      <c r="Q277" s="645">
        <f t="shared" si="81"/>
        <v>3</v>
      </c>
      <c r="R277" s="645">
        <v>3</v>
      </c>
    </row>
    <row r="278" spans="1:25" ht="15.75" customHeight="1" x14ac:dyDescent="0.35">
      <c r="A278" s="245">
        <v>10</v>
      </c>
      <c r="B278" s="224" t="s">
        <v>23</v>
      </c>
      <c r="C278" s="386">
        <v>2</v>
      </c>
      <c r="D278" s="377">
        <v>0</v>
      </c>
      <c r="E278" s="377">
        <v>0</v>
      </c>
      <c r="F278" s="1384">
        <v>0</v>
      </c>
      <c r="G278" s="379">
        <f t="shared" si="76"/>
        <v>2</v>
      </c>
      <c r="H278" s="386">
        <v>3</v>
      </c>
      <c r="I278" s="377">
        <v>0</v>
      </c>
      <c r="J278" s="377">
        <v>0</v>
      </c>
      <c r="K278" s="1384">
        <v>0</v>
      </c>
      <c r="L278" s="379">
        <f t="shared" si="77"/>
        <v>3</v>
      </c>
      <c r="M278" s="386">
        <f t="shared" si="82"/>
        <v>5</v>
      </c>
      <c r="N278" s="377">
        <f t="shared" si="78"/>
        <v>0</v>
      </c>
      <c r="O278" s="377">
        <f t="shared" si="79"/>
        <v>0</v>
      </c>
      <c r="P278" s="1384">
        <f t="shared" si="80"/>
        <v>0</v>
      </c>
      <c r="Q278" s="645">
        <f t="shared" si="81"/>
        <v>5</v>
      </c>
      <c r="R278" s="645">
        <v>2</v>
      </c>
    </row>
    <row r="279" spans="1:25" ht="15.75" customHeight="1" x14ac:dyDescent="0.35">
      <c r="A279" s="247">
        <v>11</v>
      </c>
      <c r="B279" s="226" t="s">
        <v>24</v>
      </c>
      <c r="C279" s="386">
        <v>2</v>
      </c>
      <c r="D279" s="377">
        <v>0</v>
      </c>
      <c r="E279" s="377">
        <v>0</v>
      </c>
      <c r="F279" s="1384">
        <v>0</v>
      </c>
      <c r="G279" s="379">
        <f t="shared" si="76"/>
        <v>2</v>
      </c>
      <c r="H279" s="386">
        <v>0</v>
      </c>
      <c r="I279" s="377">
        <v>0</v>
      </c>
      <c r="J279" s="377">
        <v>0</v>
      </c>
      <c r="K279" s="1384">
        <v>0</v>
      </c>
      <c r="L279" s="379">
        <f t="shared" si="77"/>
        <v>0</v>
      </c>
      <c r="M279" s="386">
        <f t="shared" si="82"/>
        <v>2</v>
      </c>
      <c r="N279" s="377">
        <f t="shared" si="78"/>
        <v>0</v>
      </c>
      <c r="O279" s="377">
        <f t="shared" si="79"/>
        <v>0</v>
      </c>
      <c r="P279" s="1384">
        <f t="shared" si="80"/>
        <v>0</v>
      </c>
      <c r="Q279" s="645">
        <f t="shared" si="81"/>
        <v>2</v>
      </c>
      <c r="R279" s="645">
        <v>2</v>
      </c>
    </row>
    <row r="280" spans="1:25" ht="15.75" customHeight="1" x14ac:dyDescent="0.35">
      <c r="A280" s="245">
        <v>12</v>
      </c>
      <c r="B280" s="224" t="s">
        <v>25</v>
      </c>
      <c r="C280" s="386">
        <v>0</v>
      </c>
      <c r="D280" s="377">
        <v>0</v>
      </c>
      <c r="E280" s="377">
        <v>0</v>
      </c>
      <c r="F280" s="1384">
        <v>0</v>
      </c>
      <c r="G280" s="379">
        <f t="shared" si="76"/>
        <v>0</v>
      </c>
      <c r="H280" s="386">
        <v>0</v>
      </c>
      <c r="I280" s="377">
        <v>0</v>
      </c>
      <c r="J280" s="377">
        <v>0</v>
      </c>
      <c r="K280" s="1384">
        <v>0</v>
      </c>
      <c r="L280" s="379">
        <f t="shared" si="77"/>
        <v>0</v>
      </c>
      <c r="M280" s="386">
        <f t="shared" si="82"/>
        <v>0</v>
      </c>
      <c r="N280" s="377">
        <f t="shared" si="78"/>
        <v>0</v>
      </c>
      <c r="O280" s="377">
        <f t="shared" si="79"/>
        <v>0</v>
      </c>
      <c r="P280" s="1384">
        <f t="shared" si="80"/>
        <v>0</v>
      </c>
      <c r="Q280" s="645">
        <f t="shared" si="81"/>
        <v>0</v>
      </c>
      <c r="R280" s="645">
        <v>0</v>
      </c>
    </row>
    <row r="281" spans="1:25" ht="15.75" customHeight="1" x14ac:dyDescent="0.35">
      <c r="A281" s="245">
        <v>13</v>
      </c>
      <c r="B281" s="224" t="s">
        <v>26</v>
      </c>
      <c r="C281" s="386">
        <v>3</v>
      </c>
      <c r="D281" s="377">
        <v>0</v>
      </c>
      <c r="E281" s="377">
        <v>0</v>
      </c>
      <c r="F281" s="1384">
        <v>0</v>
      </c>
      <c r="G281" s="379">
        <f t="shared" si="76"/>
        <v>3</v>
      </c>
      <c r="H281" s="386">
        <v>4</v>
      </c>
      <c r="I281" s="377">
        <v>0</v>
      </c>
      <c r="J281" s="377">
        <v>0</v>
      </c>
      <c r="K281" s="1384">
        <v>0</v>
      </c>
      <c r="L281" s="379">
        <f t="shared" si="77"/>
        <v>4</v>
      </c>
      <c r="M281" s="386">
        <f t="shared" si="82"/>
        <v>7</v>
      </c>
      <c r="N281" s="377">
        <f t="shared" si="78"/>
        <v>0</v>
      </c>
      <c r="O281" s="377">
        <f t="shared" si="79"/>
        <v>0</v>
      </c>
      <c r="P281" s="1384">
        <f t="shared" si="80"/>
        <v>0</v>
      </c>
      <c r="Q281" s="645">
        <f t="shared" si="81"/>
        <v>7</v>
      </c>
      <c r="R281" s="645">
        <v>5</v>
      </c>
    </row>
    <row r="282" spans="1:25" ht="15.75" customHeight="1" x14ac:dyDescent="0.35">
      <c r="A282" s="245">
        <v>14</v>
      </c>
      <c r="B282" s="224" t="s">
        <v>27</v>
      </c>
      <c r="C282" s="386">
        <v>0</v>
      </c>
      <c r="D282" s="377">
        <v>0</v>
      </c>
      <c r="E282" s="377">
        <v>0</v>
      </c>
      <c r="F282" s="1384">
        <v>0</v>
      </c>
      <c r="G282" s="379">
        <f t="shared" si="76"/>
        <v>0</v>
      </c>
      <c r="H282" s="386">
        <v>9</v>
      </c>
      <c r="I282" s="377">
        <v>0</v>
      </c>
      <c r="J282" s="377">
        <v>0</v>
      </c>
      <c r="K282" s="1384">
        <v>0</v>
      </c>
      <c r="L282" s="379">
        <f t="shared" si="77"/>
        <v>9</v>
      </c>
      <c r="M282" s="386">
        <f t="shared" si="82"/>
        <v>9</v>
      </c>
      <c r="N282" s="377">
        <f t="shared" si="78"/>
        <v>0</v>
      </c>
      <c r="O282" s="377">
        <f t="shared" si="79"/>
        <v>0</v>
      </c>
      <c r="P282" s="1384">
        <f t="shared" si="80"/>
        <v>0</v>
      </c>
      <c r="Q282" s="645">
        <f t="shared" si="81"/>
        <v>9</v>
      </c>
      <c r="R282" s="645">
        <v>9</v>
      </c>
    </row>
    <row r="283" spans="1:25" ht="30.75" customHeight="1" thickBot="1" x14ac:dyDescent="0.4">
      <c r="A283" s="248">
        <v>15</v>
      </c>
      <c r="B283" s="227" t="s">
        <v>28</v>
      </c>
      <c r="C283" s="389">
        <v>0</v>
      </c>
      <c r="D283" s="390">
        <v>0</v>
      </c>
      <c r="E283" s="390">
        <v>0</v>
      </c>
      <c r="F283" s="1385">
        <v>0</v>
      </c>
      <c r="G283" s="381">
        <f t="shared" si="76"/>
        <v>0</v>
      </c>
      <c r="H283" s="389">
        <v>3</v>
      </c>
      <c r="I283" s="390">
        <v>0</v>
      </c>
      <c r="J283" s="390">
        <v>0</v>
      </c>
      <c r="K283" s="1385">
        <v>0</v>
      </c>
      <c r="L283" s="381">
        <f t="shared" si="77"/>
        <v>3</v>
      </c>
      <c r="M283" s="389">
        <f t="shared" si="82"/>
        <v>3</v>
      </c>
      <c r="N283" s="390">
        <f t="shared" si="78"/>
        <v>0</v>
      </c>
      <c r="O283" s="390">
        <f t="shared" si="79"/>
        <v>0</v>
      </c>
      <c r="P283" s="1385">
        <f t="shared" si="80"/>
        <v>0</v>
      </c>
      <c r="Q283" s="646">
        <f t="shared" si="81"/>
        <v>3</v>
      </c>
      <c r="R283" s="646">
        <v>0</v>
      </c>
    </row>
    <row r="284" spans="1:25" ht="22.5" customHeight="1" x14ac:dyDescent="0.35">
      <c r="A284" s="320"/>
      <c r="B284" s="321" t="s">
        <v>543</v>
      </c>
      <c r="C284" s="322">
        <f t="shared" ref="C284:R284" si="83">SUM(C269:C283)</f>
        <v>19</v>
      </c>
      <c r="D284" s="323">
        <f t="shared" si="83"/>
        <v>0</v>
      </c>
      <c r="E284" s="323">
        <f t="shared" si="83"/>
        <v>0</v>
      </c>
      <c r="F284" s="323">
        <f t="shared" si="83"/>
        <v>0</v>
      </c>
      <c r="G284" s="324">
        <f t="shared" si="83"/>
        <v>19</v>
      </c>
      <c r="H284" s="322">
        <f t="shared" si="83"/>
        <v>75</v>
      </c>
      <c r="I284" s="323">
        <f t="shared" si="83"/>
        <v>1</v>
      </c>
      <c r="J284" s="323">
        <f t="shared" si="83"/>
        <v>0</v>
      </c>
      <c r="K284" s="323">
        <f t="shared" si="83"/>
        <v>0</v>
      </c>
      <c r="L284" s="324">
        <f t="shared" si="83"/>
        <v>76</v>
      </c>
      <c r="M284" s="322">
        <f t="shared" si="83"/>
        <v>86</v>
      </c>
      <c r="N284" s="323">
        <f t="shared" si="83"/>
        <v>1</v>
      </c>
      <c r="O284" s="323">
        <f t="shared" si="83"/>
        <v>0</v>
      </c>
      <c r="P284" s="323">
        <f t="shared" si="83"/>
        <v>0</v>
      </c>
      <c r="Q284" s="324">
        <f t="shared" si="83"/>
        <v>87</v>
      </c>
      <c r="R284" s="325">
        <f t="shared" si="83"/>
        <v>53</v>
      </c>
      <c r="T284" s="326"/>
    </row>
    <row r="285" spans="1:25" ht="22.5" customHeight="1" x14ac:dyDescent="0.35">
      <c r="A285" s="1374"/>
      <c r="B285" s="226" t="s">
        <v>454</v>
      </c>
      <c r="C285" s="1375">
        <v>12</v>
      </c>
      <c r="D285" s="1376">
        <v>0</v>
      </c>
      <c r="E285" s="1376">
        <v>0</v>
      </c>
      <c r="F285" s="1376">
        <v>0</v>
      </c>
      <c r="G285" s="1377">
        <v>12</v>
      </c>
      <c r="H285" s="1375">
        <v>55</v>
      </c>
      <c r="I285" s="1376">
        <v>0</v>
      </c>
      <c r="J285" s="1376">
        <v>0</v>
      </c>
      <c r="K285" s="1376">
        <v>0</v>
      </c>
      <c r="L285" s="1378">
        <v>55</v>
      </c>
      <c r="M285" s="1375">
        <v>72</v>
      </c>
      <c r="N285" s="1376">
        <v>0</v>
      </c>
      <c r="O285" s="1376">
        <v>0</v>
      </c>
      <c r="P285" s="1376">
        <v>0</v>
      </c>
      <c r="Q285" s="379">
        <v>72</v>
      </c>
      <c r="R285" s="526">
        <v>58</v>
      </c>
      <c r="T285" s="326"/>
    </row>
    <row r="286" spans="1:25" ht="22.5" customHeight="1" x14ac:dyDescent="0.35">
      <c r="A286" s="223"/>
      <c r="B286" s="224" t="s">
        <v>414</v>
      </c>
      <c r="C286" s="376">
        <v>6</v>
      </c>
      <c r="D286" s="377">
        <v>0</v>
      </c>
      <c r="E286" s="377">
        <v>0</v>
      </c>
      <c r="F286" s="377">
        <v>0</v>
      </c>
      <c r="G286" s="379">
        <v>6</v>
      </c>
      <c r="H286" s="376">
        <v>51</v>
      </c>
      <c r="I286" s="377">
        <v>0</v>
      </c>
      <c r="J286" s="377">
        <v>0</v>
      </c>
      <c r="K286" s="377">
        <v>0</v>
      </c>
      <c r="L286" s="378">
        <v>51</v>
      </c>
      <c r="M286" s="376">
        <v>61</v>
      </c>
      <c r="N286" s="377">
        <v>0</v>
      </c>
      <c r="O286" s="377">
        <v>0</v>
      </c>
      <c r="P286" s="377">
        <v>0</v>
      </c>
      <c r="Q286" s="379">
        <v>61</v>
      </c>
      <c r="R286" s="526">
        <v>41</v>
      </c>
      <c r="T286" s="370"/>
    </row>
    <row r="287" spans="1:25" ht="22.5" customHeight="1" x14ac:dyDescent="0.35">
      <c r="A287" s="223"/>
      <c r="B287" s="224" t="s">
        <v>366</v>
      </c>
      <c r="C287" s="376">
        <v>4</v>
      </c>
      <c r="D287" s="377">
        <v>0</v>
      </c>
      <c r="E287" s="377">
        <v>0</v>
      </c>
      <c r="F287" s="377">
        <v>0</v>
      </c>
      <c r="G287" s="379">
        <v>4</v>
      </c>
      <c r="H287" s="376">
        <v>51</v>
      </c>
      <c r="I287" s="377">
        <v>0</v>
      </c>
      <c r="J287" s="377">
        <v>0</v>
      </c>
      <c r="K287" s="377">
        <v>1</v>
      </c>
      <c r="L287" s="378">
        <v>52</v>
      </c>
      <c r="M287" s="376">
        <v>55</v>
      </c>
      <c r="N287" s="377">
        <v>0</v>
      </c>
      <c r="O287" s="377">
        <v>0</v>
      </c>
      <c r="P287" s="377">
        <v>1</v>
      </c>
      <c r="Q287" s="379">
        <v>56</v>
      </c>
      <c r="R287" s="526">
        <v>38</v>
      </c>
    </row>
    <row r="288" spans="1:25" ht="21" customHeight="1" thickBot="1" x14ac:dyDescent="0.4">
      <c r="A288" s="338"/>
      <c r="B288" s="339" t="s">
        <v>333</v>
      </c>
      <c r="C288" s="340">
        <v>3</v>
      </c>
      <c r="D288" s="390">
        <v>0</v>
      </c>
      <c r="E288" s="390">
        <v>0</v>
      </c>
      <c r="F288" s="390">
        <v>0</v>
      </c>
      <c r="G288" s="391">
        <v>3</v>
      </c>
      <c r="H288" s="340">
        <v>53</v>
      </c>
      <c r="I288" s="390">
        <v>0</v>
      </c>
      <c r="J288" s="390">
        <v>0</v>
      </c>
      <c r="K288" s="390">
        <v>0</v>
      </c>
      <c r="L288" s="797">
        <v>53</v>
      </c>
      <c r="M288" s="340">
        <v>56</v>
      </c>
      <c r="N288" s="390">
        <v>0</v>
      </c>
      <c r="O288" s="390">
        <v>0</v>
      </c>
      <c r="P288" s="390">
        <v>0</v>
      </c>
      <c r="Q288" s="391">
        <v>56</v>
      </c>
      <c r="R288" s="527">
        <v>29</v>
      </c>
    </row>
    <row r="289" spans="1:18" ht="15.75" customHeight="1" x14ac:dyDescent="0.35">
      <c r="A289" s="216" t="s">
        <v>70</v>
      </c>
      <c r="B289" s="334"/>
      <c r="C289" s="335"/>
      <c r="D289" s="335"/>
      <c r="E289" s="335"/>
      <c r="F289" s="335"/>
      <c r="G289" s="335"/>
      <c r="H289" s="335"/>
      <c r="I289" s="335"/>
      <c r="J289" s="335"/>
      <c r="K289" s="335"/>
      <c r="L289" s="335"/>
      <c r="M289" s="335"/>
      <c r="N289" s="335"/>
      <c r="O289" s="335"/>
      <c r="P289" s="335"/>
      <c r="Q289" s="335"/>
      <c r="R289" s="335"/>
    </row>
    <row r="290" spans="1:18" ht="15.75" customHeight="1" x14ac:dyDescent="0.35">
      <c r="A290" s="647" t="s">
        <v>332</v>
      </c>
    </row>
    <row r="291" spans="1:18" ht="15.75" customHeight="1" x14ac:dyDescent="0.35">
      <c r="A291" s="647"/>
    </row>
    <row r="295" spans="1:18" ht="15.75" customHeight="1" thickBot="1" x14ac:dyDescent="0.4">
      <c r="A295" s="185" t="s">
        <v>584</v>
      </c>
      <c r="B295" s="217"/>
      <c r="C295" s="217"/>
      <c r="D295" s="217"/>
      <c r="E295" s="217"/>
      <c r="F295" s="217"/>
      <c r="G295" s="217"/>
      <c r="H295" s="217"/>
      <c r="I295" s="217"/>
      <c r="J295" s="217"/>
      <c r="K295" s="217"/>
      <c r="L295" s="217"/>
      <c r="M295" s="217"/>
      <c r="N295" s="217"/>
      <c r="O295" s="217"/>
      <c r="P295" s="217"/>
      <c r="Q295" s="217"/>
      <c r="R295" s="217"/>
    </row>
    <row r="296" spans="1:18" ht="15.75" customHeight="1" thickBot="1" x14ac:dyDescent="0.4">
      <c r="A296" s="237"/>
      <c r="B296" s="238"/>
      <c r="C296" s="1696" t="s">
        <v>63</v>
      </c>
      <c r="D296" s="1697"/>
      <c r="E296" s="1697"/>
      <c r="F296" s="1697"/>
      <c r="G296" s="1698"/>
      <c r="H296" s="1696" t="s">
        <v>64</v>
      </c>
      <c r="I296" s="1697"/>
      <c r="J296" s="1697"/>
      <c r="K296" s="1697"/>
      <c r="L296" s="1698"/>
      <c r="M296" s="1696" t="s">
        <v>65</v>
      </c>
      <c r="N296" s="1697"/>
      <c r="O296" s="1697"/>
      <c r="P296" s="1697"/>
      <c r="Q296" s="1697"/>
      <c r="R296" s="1698"/>
    </row>
    <row r="297" spans="1:18" ht="78.75" customHeight="1" thickBot="1" x14ac:dyDescent="0.4">
      <c r="A297" s="239" t="s">
        <v>2</v>
      </c>
      <c r="B297" s="220" t="s">
        <v>3</v>
      </c>
      <c r="C297" s="269" t="s">
        <v>66</v>
      </c>
      <c r="D297" s="266" t="s">
        <v>296</v>
      </c>
      <c r="E297" s="266" t="s">
        <v>297</v>
      </c>
      <c r="F297" s="266" t="s">
        <v>67</v>
      </c>
      <c r="G297" s="296" t="s">
        <v>68</v>
      </c>
      <c r="H297" s="286" t="s">
        <v>66</v>
      </c>
      <c r="I297" s="266" t="s">
        <v>296</v>
      </c>
      <c r="J297" s="266" t="s">
        <v>297</v>
      </c>
      <c r="K297" s="266" t="s">
        <v>67</v>
      </c>
      <c r="L297" s="296" t="s">
        <v>13</v>
      </c>
      <c r="M297" s="286" t="s">
        <v>66</v>
      </c>
      <c r="N297" s="266" t="s">
        <v>296</v>
      </c>
      <c r="O297" s="266" t="s">
        <v>297</v>
      </c>
      <c r="P297" s="266" t="s">
        <v>67</v>
      </c>
      <c r="Q297" s="296" t="s">
        <v>13</v>
      </c>
      <c r="R297" s="399" t="s">
        <v>69</v>
      </c>
    </row>
    <row r="298" spans="1:18" ht="15.75" customHeight="1" x14ac:dyDescent="0.35">
      <c r="A298" s="243">
        <v>1</v>
      </c>
      <c r="B298" s="222" t="s">
        <v>14</v>
      </c>
      <c r="C298" s="857">
        <f t="shared" ref="C298:F312" si="84">C242+C269</f>
        <v>14</v>
      </c>
      <c r="D298" s="858">
        <f t="shared" si="84"/>
        <v>0</v>
      </c>
      <c r="E298" s="858">
        <f t="shared" si="84"/>
        <v>0</v>
      </c>
      <c r="F298" s="858">
        <f t="shared" si="84"/>
        <v>0</v>
      </c>
      <c r="G298" s="860">
        <f t="shared" ref="G298:G312" si="85">SUM(C298:F298)</f>
        <v>14</v>
      </c>
      <c r="H298" s="857">
        <f t="shared" ref="H298:K312" si="86">H242+H269</f>
        <v>21</v>
      </c>
      <c r="I298" s="858">
        <f t="shared" si="86"/>
        <v>1</v>
      </c>
      <c r="J298" s="858">
        <f t="shared" si="86"/>
        <v>0</v>
      </c>
      <c r="K298" s="858">
        <f t="shared" si="86"/>
        <v>0</v>
      </c>
      <c r="L298" s="859">
        <f t="shared" ref="L298:L312" si="87">SUM(H298:K298)</f>
        <v>22</v>
      </c>
      <c r="M298" s="857">
        <f t="shared" ref="M298:M312" si="88">C298+H298</f>
        <v>35</v>
      </c>
      <c r="N298" s="858">
        <f t="shared" ref="N298:N312" si="89">D298+I298</f>
        <v>1</v>
      </c>
      <c r="O298" s="858">
        <f t="shared" ref="O298:O312" si="90">E298+J298</f>
        <v>0</v>
      </c>
      <c r="P298" s="858">
        <f t="shared" ref="P298:P312" si="91">F298+K298</f>
        <v>0</v>
      </c>
      <c r="Q298" s="860">
        <f t="shared" ref="Q298:Q312" si="92">SUM(M298:P298)</f>
        <v>36</v>
      </c>
      <c r="R298" s="861">
        <f t="shared" ref="R298:R312" si="93">R242+R269</f>
        <v>22</v>
      </c>
    </row>
    <row r="299" spans="1:18" ht="15.75" customHeight="1" x14ac:dyDescent="0.35">
      <c r="A299" s="245">
        <v>2</v>
      </c>
      <c r="B299" s="224" t="s">
        <v>15</v>
      </c>
      <c r="C299" s="862">
        <f t="shared" si="84"/>
        <v>2</v>
      </c>
      <c r="D299" s="863">
        <f t="shared" si="84"/>
        <v>0</v>
      </c>
      <c r="E299" s="863">
        <f t="shared" si="84"/>
        <v>0</v>
      </c>
      <c r="F299" s="863">
        <f t="shared" si="84"/>
        <v>0</v>
      </c>
      <c r="G299" s="865">
        <f t="shared" si="85"/>
        <v>2</v>
      </c>
      <c r="H299" s="862">
        <f t="shared" si="86"/>
        <v>16</v>
      </c>
      <c r="I299" s="863">
        <f t="shared" si="86"/>
        <v>0</v>
      </c>
      <c r="J299" s="863">
        <f t="shared" si="86"/>
        <v>0</v>
      </c>
      <c r="K299" s="863">
        <f t="shared" si="86"/>
        <v>0</v>
      </c>
      <c r="L299" s="864">
        <f t="shared" si="87"/>
        <v>16</v>
      </c>
      <c r="M299" s="862">
        <f t="shared" si="88"/>
        <v>18</v>
      </c>
      <c r="N299" s="863">
        <f t="shared" si="89"/>
        <v>0</v>
      </c>
      <c r="O299" s="863">
        <f t="shared" si="90"/>
        <v>0</v>
      </c>
      <c r="P299" s="863">
        <f t="shared" si="91"/>
        <v>0</v>
      </c>
      <c r="Q299" s="865">
        <f t="shared" si="92"/>
        <v>18</v>
      </c>
      <c r="R299" s="866">
        <f t="shared" si="93"/>
        <v>0</v>
      </c>
    </row>
    <row r="300" spans="1:18" ht="15.75" customHeight="1" x14ac:dyDescent="0.35">
      <c r="A300" s="245">
        <v>3</v>
      </c>
      <c r="B300" s="224" t="s">
        <v>16</v>
      </c>
      <c r="C300" s="862">
        <f t="shared" si="84"/>
        <v>6</v>
      </c>
      <c r="D300" s="863">
        <f t="shared" si="84"/>
        <v>0</v>
      </c>
      <c r="E300" s="863">
        <f t="shared" si="84"/>
        <v>0</v>
      </c>
      <c r="F300" s="863">
        <f t="shared" si="84"/>
        <v>0</v>
      </c>
      <c r="G300" s="865">
        <f t="shared" si="85"/>
        <v>6</v>
      </c>
      <c r="H300" s="862">
        <f t="shared" si="86"/>
        <v>13</v>
      </c>
      <c r="I300" s="863">
        <f t="shared" si="86"/>
        <v>0</v>
      </c>
      <c r="J300" s="863">
        <f t="shared" si="86"/>
        <v>0</v>
      </c>
      <c r="K300" s="863">
        <f t="shared" si="86"/>
        <v>0</v>
      </c>
      <c r="L300" s="864">
        <f t="shared" si="87"/>
        <v>13</v>
      </c>
      <c r="M300" s="862">
        <f t="shared" si="88"/>
        <v>19</v>
      </c>
      <c r="N300" s="863">
        <f t="shared" si="89"/>
        <v>0</v>
      </c>
      <c r="O300" s="863">
        <f t="shared" si="90"/>
        <v>0</v>
      </c>
      <c r="P300" s="863">
        <f t="shared" si="91"/>
        <v>0</v>
      </c>
      <c r="Q300" s="865">
        <f t="shared" si="92"/>
        <v>19</v>
      </c>
      <c r="R300" s="866">
        <f t="shared" si="93"/>
        <v>10</v>
      </c>
    </row>
    <row r="301" spans="1:18" ht="15.75" customHeight="1" x14ac:dyDescent="0.35">
      <c r="A301" s="245">
        <v>4</v>
      </c>
      <c r="B301" s="224" t="s">
        <v>17</v>
      </c>
      <c r="C301" s="862">
        <f t="shared" si="84"/>
        <v>4</v>
      </c>
      <c r="D301" s="863">
        <f t="shared" si="84"/>
        <v>0</v>
      </c>
      <c r="E301" s="863">
        <f t="shared" si="84"/>
        <v>0</v>
      </c>
      <c r="F301" s="863">
        <f t="shared" si="84"/>
        <v>0</v>
      </c>
      <c r="G301" s="865">
        <f t="shared" si="85"/>
        <v>4</v>
      </c>
      <c r="H301" s="862">
        <f t="shared" si="86"/>
        <v>30</v>
      </c>
      <c r="I301" s="863">
        <f t="shared" si="86"/>
        <v>0</v>
      </c>
      <c r="J301" s="863">
        <f t="shared" si="86"/>
        <v>0</v>
      </c>
      <c r="K301" s="863">
        <f t="shared" si="86"/>
        <v>0</v>
      </c>
      <c r="L301" s="864">
        <f t="shared" si="87"/>
        <v>30</v>
      </c>
      <c r="M301" s="862">
        <f t="shared" si="88"/>
        <v>34</v>
      </c>
      <c r="N301" s="863">
        <f t="shared" si="89"/>
        <v>0</v>
      </c>
      <c r="O301" s="863">
        <f t="shared" si="90"/>
        <v>0</v>
      </c>
      <c r="P301" s="863">
        <f t="shared" si="91"/>
        <v>0</v>
      </c>
      <c r="Q301" s="865">
        <f t="shared" si="92"/>
        <v>34</v>
      </c>
      <c r="R301" s="866">
        <f t="shared" si="93"/>
        <v>29</v>
      </c>
    </row>
    <row r="302" spans="1:18" ht="15.75" customHeight="1" x14ac:dyDescent="0.35">
      <c r="A302" s="245">
        <v>5</v>
      </c>
      <c r="B302" s="224" t="s">
        <v>18</v>
      </c>
      <c r="C302" s="862">
        <f t="shared" si="84"/>
        <v>4</v>
      </c>
      <c r="D302" s="863">
        <f t="shared" si="84"/>
        <v>0</v>
      </c>
      <c r="E302" s="863">
        <f t="shared" si="84"/>
        <v>0</v>
      </c>
      <c r="F302" s="863">
        <f t="shared" si="84"/>
        <v>0</v>
      </c>
      <c r="G302" s="865">
        <f t="shared" si="85"/>
        <v>4</v>
      </c>
      <c r="H302" s="862">
        <f t="shared" si="86"/>
        <v>12</v>
      </c>
      <c r="I302" s="863">
        <f t="shared" si="86"/>
        <v>0</v>
      </c>
      <c r="J302" s="863">
        <f t="shared" si="86"/>
        <v>0</v>
      </c>
      <c r="K302" s="863">
        <f t="shared" si="86"/>
        <v>0</v>
      </c>
      <c r="L302" s="864">
        <f t="shared" si="87"/>
        <v>12</v>
      </c>
      <c r="M302" s="862">
        <f t="shared" si="88"/>
        <v>16</v>
      </c>
      <c r="N302" s="863">
        <f t="shared" si="89"/>
        <v>0</v>
      </c>
      <c r="O302" s="863">
        <f t="shared" si="90"/>
        <v>0</v>
      </c>
      <c r="P302" s="863">
        <f t="shared" si="91"/>
        <v>0</v>
      </c>
      <c r="Q302" s="865">
        <f t="shared" si="92"/>
        <v>16</v>
      </c>
      <c r="R302" s="866">
        <f t="shared" si="93"/>
        <v>0</v>
      </c>
    </row>
    <row r="303" spans="1:18" ht="15.75" customHeight="1" x14ac:dyDescent="0.35">
      <c r="A303" s="247">
        <v>6</v>
      </c>
      <c r="B303" s="226" t="s">
        <v>19</v>
      </c>
      <c r="C303" s="862">
        <f t="shared" si="84"/>
        <v>2</v>
      </c>
      <c r="D303" s="863">
        <f t="shared" si="84"/>
        <v>0</v>
      </c>
      <c r="E303" s="863">
        <f t="shared" si="84"/>
        <v>0</v>
      </c>
      <c r="F303" s="863">
        <f t="shared" si="84"/>
        <v>0</v>
      </c>
      <c r="G303" s="865">
        <f t="shared" si="85"/>
        <v>2</v>
      </c>
      <c r="H303" s="862">
        <f t="shared" si="86"/>
        <v>16</v>
      </c>
      <c r="I303" s="863">
        <f t="shared" si="86"/>
        <v>0</v>
      </c>
      <c r="J303" s="863">
        <f t="shared" si="86"/>
        <v>0</v>
      </c>
      <c r="K303" s="863">
        <f t="shared" si="86"/>
        <v>0</v>
      </c>
      <c r="L303" s="864">
        <f t="shared" si="87"/>
        <v>16</v>
      </c>
      <c r="M303" s="862">
        <f t="shared" si="88"/>
        <v>18</v>
      </c>
      <c r="N303" s="863">
        <f t="shared" si="89"/>
        <v>0</v>
      </c>
      <c r="O303" s="863">
        <f t="shared" si="90"/>
        <v>0</v>
      </c>
      <c r="P303" s="863">
        <f t="shared" si="91"/>
        <v>0</v>
      </c>
      <c r="Q303" s="865">
        <f t="shared" si="92"/>
        <v>18</v>
      </c>
      <c r="R303" s="866">
        <f t="shared" si="93"/>
        <v>0</v>
      </c>
    </row>
    <row r="304" spans="1:18" ht="15.75" customHeight="1" x14ac:dyDescent="0.35">
      <c r="A304" s="247">
        <v>7</v>
      </c>
      <c r="B304" s="226" t="s">
        <v>20</v>
      </c>
      <c r="C304" s="862">
        <f t="shared" si="84"/>
        <v>4</v>
      </c>
      <c r="D304" s="863">
        <f t="shared" si="84"/>
        <v>0</v>
      </c>
      <c r="E304" s="863">
        <f t="shared" si="84"/>
        <v>0</v>
      </c>
      <c r="F304" s="863">
        <f t="shared" si="84"/>
        <v>0</v>
      </c>
      <c r="G304" s="865">
        <f t="shared" si="85"/>
        <v>4</v>
      </c>
      <c r="H304" s="862">
        <f t="shared" si="86"/>
        <v>15</v>
      </c>
      <c r="I304" s="863">
        <f t="shared" si="86"/>
        <v>0</v>
      </c>
      <c r="J304" s="863">
        <f t="shared" si="86"/>
        <v>0</v>
      </c>
      <c r="K304" s="863">
        <f t="shared" si="86"/>
        <v>0</v>
      </c>
      <c r="L304" s="864">
        <f t="shared" si="87"/>
        <v>15</v>
      </c>
      <c r="M304" s="862">
        <f t="shared" si="88"/>
        <v>19</v>
      </c>
      <c r="N304" s="863">
        <f t="shared" si="89"/>
        <v>0</v>
      </c>
      <c r="O304" s="863">
        <f t="shared" si="90"/>
        <v>0</v>
      </c>
      <c r="P304" s="863">
        <f t="shared" si="91"/>
        <v>0</v>
      </c>
      <c r="Q304" s="865">
        <f t="shared" si="92"/>
        <v>19</v>
      </c>
      <c r="R304" s="866">
        <f t="shared" si="93"/>
        <v>1</v>
      </c>
    </row>
    <row r="305" spans="1:18" ht="15.75" customHeight="1" x14ac:dyDescent="0.35">
      <c r="A305" s="245">
        <v>8</v>
      </c>
      <c r="B305" s="224" t="s">
        <v>21</v>
      </c>
      <c r="C305" s="862">
        <f t="shared" si="84"/>
        <v>9</v>
      </c>
      <c r="D305" s="863">
        <f t="shared" si="84"/>
        <v>0</v>
      </c>
      <c r="E305" s="863">
        <f t="shared" si="84"/>
        <v>0</v>
      </c>
      <c r="F305" s="863">
        <f t="shared" si="84"/>
        <v>0</v>
      </c>
      <c r="G305" s="865">
        <f t="shared" si="85"/>
        <v>9</v>
      </c>
      <c r="H305" s="862">
        <f t="shared" si="86"/>
        <v>18</v>
      </c>
      <c r="I305" s="863">
        <f t="shared" si="86"/>
        <v>0</v>
      </c>
      <c r="J305" s="863">
        <f t="shared" si="86"/>
        <v>0</v>
      </c>
      <c r="K305" s="863">
        <f t="shared" si="86"/>
        <v>0</v>
      </c>
      <c r="L305" s="864">
        <f t="shared" si="87"/>
        <v>18</v>
      </c>
      <c r="M305" s="862">
        <f t="shared" si="88"/>
        <v>27</v>
      </c>
      <c r="N305" s="863">
        <f t="shared" si="89"/>
        <v>0</v>
      </c>
      <c r="O305" s="863">
        <f t="shared" si="90"/>
        <v>0</v>
      </c>
      <c r="P305" s="863">
        <f t="shared" si="91"/>
        <v>0</v>
      </c>
      <c r="Q305" s="865">
        <f t="shared" si="92"/>
        <v>27</v>
      </c>
      <c r="R305" s="866">
        <f t="shared" si="93"/>
        <v>30</v>
      </c>
    </row>
    <row r="306" spans="1:18" ht="15.75" customHeight="1" x14ac:dyDescent="0.35">
      <c r="A306" s="245">
        <v>9</v>
      </c>
      <c r="B306" s="224" t="s">
        <v>22</v>
      </c>
      <c r="C306" s="862">
        <f t="shared" si="84"/>
        <v>6</v>
      </c>
      <c r="D306" s="863">
        <f t="shared" si="84"/>
        <v>0</v>
      </c>
      <c r="E306" s="863">
        <f t="shared" si="84"/>
        <v>0</v>
      </c>
      <c r="F306" s="863">
        <f t="shared" si="84"/>
        <v>0</v>
      </c>
      <c r="G306" s="865">
        <f t="shared" si="85"/>
        <v>6</v>
      </c>
      <c r="H306" s="862">
        <f t="shared" si="86"/>
        <v>12</v>
      </c>
      <c r="I306" s="863">
        <f t="shared" si="86"/>
        <v>0</v>
      </c>
      <c r="J306" s="863">
        <f t="shared" si="86"/>
        <v>0</v>
      </c>
      <c r="K306" s="863">
        <f t="shared" si="86"/>
        <v>0</v>
      </c>
      <c r="L306" s="864">
        <f t="shared" si="87"/>
        <v>12</v>
      </c>
      <c r="M306" s="862">
        <f t="shared" si="88"/>
        <v>18</v>
      </c>
      <c r="N306" s="863">
        <f t="shared" si="89"/>
        <v>0</v>
      </c>
      <c r="O306" s="863">
        <f t="shared" si="90"/>
        <v>0</v>
      </c>
      <c r="P306" s="863">
        <f t="shared" si="91"/>
        <v>0</v>
      </c>
      <c r="Q306" s="865">
        <f t="shared" si="92"/>
        <v>18</v>
      </c>
      <c r="R306" s="866">
        <f t="shared" si="93"/>
        <v>18</v>
      </c>
    </row>
    <row r="307" spans="1:18" ht="15.75" customHeight="1" x14ac:dyDescent="0.35">
      <c r="A307" s="245">
        <v>10</v>
      </c>
      <c r="B307" s="224" t="s">
        <v>23</v>
      </c>
      <c r="C307" s="862">
        <f t="shared" si="84"/>
        <v>7</v>
      </c>
      <c r="D307" s="863">
        <f t="shared" si="84"/>
        <v>0</v>
      </c>
      <c r="E307" s="863">
        <f t="shared" si="84"/>
        <v>0</v>
      </c>
      <c r="F307" s="863">
        <f t="shared" si="84"/>
        <v>0</v>
      </c>
      <c r="G307" s="865">
        <f t="shared" si="85"/>
        <v>7</v>
      </c>
      <c r="H307" s="862">
        <f t="shared" si="86"/>
        <v>23</v>
      </c>
      <c r="I307" s="863">
        <f t="shared" si="86"/>
        <v>0</v>
      </c>
      <c r="J307" s="863">
        <f t="shared" si="86"/>
        <v>0</v>
      </c>
      <c r="K307" s="863">
        <f t="shared" si="86"/>
        <v>0</v>
      </c>
      <c r="L307" s="864">
        <f t="shared" si="87"/>
        <v>23</v>
      </c>
      <c r="M307" s="862">
        <f t="shared" si="88"/>
        <v>30</v>
      </c>
      <c r="N307" s="863">
        <f t="shared" si="89"/>
        <v>0</v>
      </c>
      <c r="O307" s="863">
        <f t="shared" si="90"/>
        <v>0</v>
      </c>
      <c r="P307" s="863">
        <f t="shared" si="91"/>
        <v>0</v>
      </c>
      <c r="Q307" s="865">
        <f t="shared" si="92"/>
        <v>30</v>
      </c>
      <c r="R307" s="866">
        <f t="shared" si="93"/>
        <v>23</v>
      </c>
    </row>
    <row r="308" spans="1:18" ht="15.75" customHeight="1" x14ac:dyDescent="0.35">
      <c r="A308" s="247">
        <v>11</v>
      </c>
      <c r="B308" s="226" t="s">
        <v>24</v>
      </c>
      <c r="C308" s="862">
        <f t="shared" si="84"/>
        <v>4</v>
      </c>
      <c r="D308" s="863">
        <f t="shared" si="84"/>
        <v>0</v>
      </c>
      <c r="E308" s="863">
        <f t="shared" si="84"/>
        <v>0</v>
      </c>
      <c r="F308" s="863">
        <f t="shared" si="84"/>
        <v>0</v>
      </c>
      <c r="G308" s="865">
        <f t="shared" si="85"/>
        <v>4</v>
      </c>
      <c r="H308" s="862">
        <f t="shared" si="86"/>
        <v>1</v>
      </c>
      <c r="I308" s="863">
        <f t="shared" si="86"/>
        <v>0</v>
      </c>
      <c r="J308" s="863">
        <f t="shared" si="86"/>
        <v>0</v>
      </c>
      <c r="K308" s="863">
        <f t="shared" si="86"/>
        <v>0</v>
      </c>
      <c r="L308" s="864">
        <f t="shared" si="87"/>
        <v>1</v>
      </c>
      <c r="M308" s="862">
        <f t="shared" si="88"/>
        <v>5</v>
      </c>
      <c r="N308" s="863">
        <f t="shared" si="89"/>
        <v>0</v>
      </c>
      <c r="O308" s="863">
        <f t="shared" si="90"/>
        <v>0</v>
      </c>
      <c r="P308" s="863">
        <f t="shared" si="91"/>
        <v>0</v>
      </c>
      <c r="Q308" s="865">
        <f t="shared" si="92"/>
        <v>5</v>
      </c>
      <c r="R308" s="866">
        <f t="shared" si="93"/>
        <v>2</v>
      </c>
    </row>
    <row r="309" spans="1:18" ht="15.75" customHeight="1" x14ac:dyDescent="0.35">
      <c r="A309" s="245">
        <v>12</v>
      </c>
      <c r="B309" s="224" t="s">
        <v>25</v>
      </c>
      <c r="C309" s="862">
        <f t="shared" si="84"/>
        <v>0</v>
      </c>
      <c r="D309" s="863">
        <f t="shared" si="84"/>
        <v>0</v>
      </c>
      <c r="E309" s="863">
        <f t="shared" si="84"/>
        <v>0</v>
      </c>
      <c r="F309" s="863">
        <f t="shared" si="84"/>
        <v>0</v>
      </c>
      <c r="G309" s="865">
        <f t="shared" si="85"/>
        <v>0</v>
      </c>
      <c r="H309" s="862">
        <f t="shared" si="86"/>
        <v>3</v>
      </c>
      <c r="I309" s="863">
        <f t="shared" si="86"/>
        <v>0</v>
      </c>
      <c r="J309" s="863">
        <f t="shared" si="86"/>
        <v>0</v>
      </c>
      <c r="K309" s="863">
        <f t="shared" si="86"/>
        <v>0</v>
      </c>
      <c r="L309" s="864">
        <f t="shared" si="87"/>
        <v>3</v>
      </c>
      <c r="M309" s="862">
        <f t="shared" si="88"/>
        <v>3</v>
      </c>
      <c r="N309" s="863">
        <f t="shared" si="89"/>
        <v>0</v>
      </c>
      <c r="O309" s="863">
        <f t="shared" si="90"/>
        <v>0</v>
      </c>
      <c r="P309" s="863">
        <f t="shared" si="91"/>
        <v>0</v>
      </c>
      <c r="Q309" s="865">
        <f t="shared" si="92"/>
        <v>3</v>
      </c>
      <c r="R309" s="866">
        <f t="shared" si="93"/>
        <v>3</v>
      </c>
    </row>
    <row r="310" spans="1:18" ht="15.75" customHeight="1" x14ac:dyDescent="0.35">
      <c r="A310" s="245">
        <v>13</v>
      </c>
      <c r="B310" s="224" t="s">
        <v>26</v>
      </c>
      <c r="C310" s="862">
        <f t="shared" si="84"/>
        <v>8</v>
      </c>
      <c r="D310" s="863">
        <f t="shared" si="84"/>
        <v>0</v>
      </c>
      <c r="E310" s="863">
        <f t="shared" si="84"/>
        <v>0</v>
      </c>
      <c r="F310" s="863">
        <f t="shared" si="84"/>
        <v>0</v>
      </c>
      <c r="G310" s="865">
        <f t="shared" si="85"/>
        <v>8</v>
      </c>
      <c r="H310" s="862">
        <f t="shared" si="86"/>
        <v>18</v>
      </c>
      <c r="I310" s="863">
        <f t="shared" si="86"/>
        <v>0</v>
      </c>
      <c r="J310" s="863">
        <f t="shared" si="86"/>
        <v>0</v>
      </c>
      <c r="K310" s="863">
        <f t="shared" si="86"/>
        <v>0</v>
      </c>
      <c r="L310" s="864">
        <f t="shared" si="87"/>
        <v>18</v>
      </c>
      <c r="M310" s="862">
        <f t="shared" si="88"/>
        <v>26</v>
      </c>
      <c r="N310" s="863">
        <f t="shared" si="89"/>
        <v>0</v>
      </c>
      <c r="O310" s="863">
        <f t="shared" si="90"/>
        <v>0</v>
      </c>
      <c r="P310" s="863">
        <f t="shared" si="91"/>
        <v>0</v>
      </c>
      <c r="Q310" s="865">
        <f t="shared" si="92"/>
        <v>26</v>
      </c>
      <c r="R310" s="866">
        <f t="shared" si="93"/>
        <v>19</v>
      </c>
    </row>
    <row r="311" spans="1:18" ht="15.75" customHeight="1" x14ac:dyDescent="0.35">
      <c r="A311" s="245">
        <v>14</v>
      </c>
      <c r="B311" s="224" t="s">
        <v>27</v>
      </c>
      <c r="C311" s="862">
        <f t="shared" si="84"/>
        <v>4</v>
      </c>
      <c r="D311" s="863">
        <f t="shared" si="84"/>
        <v>0</v>
      </c>
      <c r="E311" s="863">
        <f t="shared" si="84"/>
        <v>0</v>
      </c>
      <c r="F311" s="863">
        <f t="shared" si="84"/>
        <v>0</v>
      </c>
      <c r="G311" s="865">
        <f t="shared" si="85"/>
        <v>4</v>
      </c>
      <c r="H311" s="862">
        <f t="shared" si="86"/>
        <v>19</v>
      </c>
      <c r="I311" s="863">
        <f t="shared" si="86"/>
        <v>0</v>
      </c>
      <c r="J311" s="863">
        <f t="shared" si="86"/>
        <v>0</v>
      </c>
      <c r="K311" s="863">
        <f t="shared" si="86"/>
        <v>0</v>
      </c>
      <c r="L311" s="864">
        <f t="shared" si="87"/>
        <v>19</v>
      </c>
      <c r="M311" s="862">
        <f t="shared" si="88"/>
        <v>23</v>
      </c>
      <c r="N311" s="863">
        <f t="shared" si="89"/>
        <v>0</v>
      </c>
      <c r="O311" s="863">
        <f t="shared" si="90"/>
        <v>0</v>
      </c>
      <c r="P311" s="863">
        <f t="shared" si="91"/>
        <v>0</v>
      </c>
      <c r="Q311" s="865">
        <f t="shared" si="92"/>
        <v>23</v>
      </c>
      <c r="R311" s="866">
        <f t="shared" si="93"/>
        <v>22</v>
      </c>
    </row>
    <row r="312" spans="1:18" ht="15.75" customHeight="1" thickBot="1" x14ac:dyDescent="0.4">
      <c r="A312" s="248">
        <v>15</v>
      </c>
      <c r="B312" s="227" t="s">
        <v>28</v>
      </c>
      <c r="C312" s="867">
        <f t="shared" si="84"/>
        <v>1</v>
      </c>
      <c r="D312" s="868">
        <f t="shared" si="84"/>
        <v>0</v>
      </c>
      <c r="E312" s="868">
        <f t="shared" si="84"/>
        <v>0</v>
      </c>
      <c r="F312" s="868">
        <f t="shared" si="84"/>
        <v>0</v>
      </c>
      <c r="G312" s="870">
        <f t="shared" si="85"/>
        <v>1</v>
      </c>
      <c r="H312" s="867">
        <f t="shared" si="86"/>
        <v>5</v>
      </c>
      <c r="I312" s="868">
        <f t="shared" si="86"/>
        <v>0</v>
      </c>
      <c r="J312" s="868">
        <f t="shared" si="86"/>
        <v>0</v>
      </c>
      <c r="K312" s="868">
        <f t="shared" si="86"/>
        <v>0</v>
      </c>
      <c r="L312" s="869">
        <f t="shared" si="87"/>
        <v>5</v>
      </c>
      <c r="M312" s="867">
        <f t="shared" si="88"/>
        <v>6</v>
      </c>
      <c r="N312" s="868">
        <f t="shared" si="89"/>
        <v>0</v>
      </c>
      <c r="O312" s="868">
        <f t="shared" si="90"/>
        <v>0</v>
      </c>
      <c r="P312" s="868">
        <f t="shared" si="91"/>
        <v>0</v>
      </c>
      <c r="Q312" s="870">
        <f t="shared" si="92"/>
        <v>6</v>
      </c>
      <c r="R312" s="871">
        <f t="shared" si="93"/>
        <v>0</v>
      </c>
    </row>
    <row r="313" spans="1:18" ht="15.75" customHeight="1" x14ac:dyDescent="0.35">
      <c r="A313" s="320"/>
      <c r="B313" s="321" t="s">
        <v>543</v>
      </c>
      <c r="C313" s="322">
        <f t="shared" ref="C313:R313" si="94">SUM(C298:C312)</f>
        <v>75</v>
      </c>
      <c r="D313" s="323">
        <f t="shared" si="94"/>
        <v>0</v>
      </c>
      <c r="E313" s="323">
        <f t="shared" si="94"/>
        <v>0</v>
      </c>
      <c r="F313" s="323">
        <f t="shared" si="94"/>
        <v>0</v>
      </c>
      <c r="G313" s="324">
        <f t="shared" si="94"/>
        <v>75</v>
      </c>
      <c r="H313" s="322">
        <f t="shared" si="94"/>
        <v>222</v>
      </c>
      <c r="I313" s="323">
        <f t="shared" si="94"/>
        <v>1</v>
      </c>
      <c r="J313" s="323">
        <f t="shared" si="94"/>
        <v>0</v>
      </c>
      <c r="K313" s="323">
        <f t="shared" si="94"/>
        <v>0</v>
      </c>
      <c r="L313" s="324">
        <f t="shared" si="94"/>
        <v>223</v>
      </c>
      <c r="M313" s="322">
        <f t="shared" si="94"/>
        <v>297</v>
      </c>
      <c r="N313" s="323">
        <f t="shared" si="94"/>
        <v>1</v>
      </c>
      <c r="O313" s="323">
        <f t="shared" si="94"/>
        <v>0</v>
      </c>
      <c r="P313" s="323">
        <f t="shared" si="94"/>
        <v>0</v>
      </c>
      <c r="Q313" s="324">
        <f t="shared" si="94"/>
        <v>298</v>
      </c>
      <c r="R313" s="325">
        <f t="shared" si="94"/>
        <v>179</v>
      </c>
    </row>
    <row r="314" spans="1:18" ht="15.75" customHeight="1" x14ac:dyDescent="0.35">
      <c r="A314" s="1374"/>
      <c r="B314" s="226" t="s">
        <v>454</v>
      </c>
      <c r="C314" s="1375">
        <v>53</v>
      </c>
      <c r="D314" s="1376">
        <v>0</v>
      </c>
      <c r="E314" s="1376">
        <v>0</v>
      </c>
      <c r="F314" s="1376">
        <v>0</v>
      </c>
      <c r="G314" s="1377">
        <v>53</v>
      </c>
      <c r="H314" s="1375">
        <v>185</v>
      </c>
      <c r="I314" s="1376">
        <v>0</v>
      </c>
      <c r="J314" s="1376">
        <v>0</v>
      </c>
      <c r="K314" s="1376">
        <v>1</v>
      </c>
      <c r="L314" s="1378">
        <v>186</v>
      </c>
      <c r="M314" s="1375">
        <v>238</v>
      </c>
      <c r="N314" s="1376">
        <v>0</v>
      </c>
      <c r="O314" s="1376">
        <v>0</v>
      </c>
      <c r="P314" s="1376">
        <v>1</v>
      </c>
      <c r="Q314" s="379">
        <v>239</v>
      </c>
      <c r="R314" s="526">
        <v>182</v>
      </c>
    </row>
    <row r="315" spans="1:18" ht="15.75" customHeight="1" x14ac:dyDescent="0.35">
      <c r="A315" s="223"/>
      <c r="B315" s="224" t="s">
        <v>414</v>
      </c>
      <c r="C315" s="376">
        <v>50</v>
      </c>
      <c r="D315" s="377">
        <v>2</v>
      </c>
      <c r="E315" s="377">
        <v>0</v>
      </c>
      <c r="F315" s="377">
        <v>0</v>
      </c>
      <c r="G315" s="379">
        <v>52</v>
      </c>
      <c r="H315" s="376">
        <v>198</v>
      </c>
      <c r="I315" s="377">
        <v>1</v>
      </c>
      <c r="J315" s="377">
        <v>0</v>
      </c>
      <c r="K315" s="377">
        <v>3</v>
      </c>
      <c r="L315" s="378">
        <v>202</v>
      </c>
      <c r="M315" s="376">
        <v>248</v>
      </c>
      <c r="N315" s="377">
        <v>3</v>
      </c>
      <c r="O315" s="377">
        <v>0</v>
      </c>
      <c r="P315" s="377">
        <v>3</v>
      </c>
      <c r="Q315" s="379">
        <v>254</v>
      </c>
      <c r="R315" s="526">
        <v>161</v>
      </c>
    </row>
    <row r="316" spans="1:18" ht="15.75" customHeight="1" x14ac:dyDescent="0.35">
      <c r="A316" s="223"/>
      <c r="B316" s="224" t="s">
        <v>366</v>
      </c>
      <c r="C316" s="376">
        <v>42</v>
      </c>
      <c r="D316" s="377">
        <v>0</v>
      </c>
      <c r="E316" s="377">
        <v>0</v>
      </c>
      <c r="F316" s="377">
        <v>0</v>
      </c>
      <c r="G316" s="379">
        <v>42</v>
      </c>
      <c r="H316" s="376">
        <v>209</v>
      </c>
      <c r="I316" s="377">
        <v>1</v>
      </c>
      <c r="J316" s="377">
        <v>0</v>
      </c>
      <c r="K316" s="377">
        <v>2</v>
      </c>
      <c r="L316" s="378">
        <v>212</v>
      </c>
      <c r="M316" s="376">
        <v>251</v>
      </c>
      <c r="N316" s="377">
        <v>1</v>
      </c>
      <c r="O316" s="377">
        <v>0</v>
      </c>
      <c r="P316" s="377">
        <v>2</v>
      </c>
      <c r="Q316" s="379">
        <v>254</v>
      </c>
      <c r="R316" s="526">
        <v>149</v>
      </c>
    </row>
    <row r="317" spans="1:18" ht="15.75" customHeight="1" x14ac:dyDescent="0.35">
      <c r="A317" s="223"/>
      <c r="B317" s="224" t="s">
        <v>333</v>
      </c>
      <c r="C317" s="376">
        <v>42</v>
      </c>
      <c r="D317" s="377">
        <v>0</v>
      </c>
      <c r="E317" s="377">
        <v>0</v>
      </c>
      <c r="F317" s="377">
        <v>0</v>
      </c>
      <c r="G317" s="379">
        <v>42</v>
      </c>
      <c r="H317" s="376">
        <v>203</v>
      </c>
      <c r="I317" s="377">
        <v>1</v>
      </c>
      <c r="J317" s="377">
        <v>0</v>
      </c>
      <c r="K317" s="377">
        <v>1</v>
      </c>
      <c r="L317" s="378">
        <v>205</v>
      </c>
      <c r="M317" s="376">
        <v>245</v>
      </c>
      <c r="N317" s="377">
        <v>1</v>
      </c>
      <c r="O317" s="377">
        <v>0</v>
      </c>
      <c r="P317" s="377">
        <v>1</v>
      </c>
      <c r="Q317" s="379">
        <v>247</v>
      </c>
      <c r="R317" s="526">
        <v>131</v>
      </c>
    </row>
    <row r="318" spans="1:18" ht="15.75" customHeight="1" x14ac:dyDescent="0.35">
      <c r="A318" s="223"/>
      <c r="B318" s="224" t="s">
        <v>298</v>
      </c>
      <c r="C318" s="376">
        <v>42</v>
      </c>
      <c r="D318" s="377">
        <v>0</v>
      </c>
      <c r="E318" s="377">
        <v>0</v>
      </c>
      <c r="F318" s="377">
        <v>0</v>
      </c>
      <c r="G318" s="379">
        <v>42</v>
      </c>
      <c r="H318" s="376">
        <v>208</v>
      </c>
      <c r="I318" s="377">
        <v>1</v>
      </c>
      <c r="J318" s="377">
        <v>0</v>
      </c>
      <c r="K318" s="377">
        <v>0</v>
      </c>
      <c r="L318" s="378">
        <v>209</v>
      </c>
      <c r="M318" s="376">
        <v>250</v>
      </c>
      <c r="N318" s="377">
        <v>1</v>
      </c>
      <c r="O318" s="377">
        <v>0</v>
      </c>
      <c r="P318" s="377">
        <v>0</v>
      </c>
      <c r="Q318" s="379">
        <v>251</v>
      </c>
      <c r="R318" s="526">
        <v>142</v>
      </c>
    </row>
    <row r="319" spans="1:18" ht="15.75" customHeight="1" thickBot="1" x14ac:dyDescent="0.4">
      <c r="A319" s="338"/>
      <c r="B319" s="339" t="s">
        <v>132</v>
      </c>
      <c r="C319" s="340">
        <v>35</v>
      </c>
      <c r="D319" s="390">
        <v>1</v>
      </c>
      <c r="E319" s="390">
        <v>0</v>
      </c>
      <c r="F319" s="390">
        <v>0</v>
      </c>
      <c r="G319" s="391">
        <v>36</v>
      </c>
      <c r="H319" s="340">
        <v>243</v>
      </c>
      <c r="I319" s="390">
        <v>0</v>
      </c>
      <c r="J319" s="390">
        <v>0</v>
      </c>
      <c r="K319" s="390">
        <v>0</v>
      </c>
      <c r="L319" s="797">
        <v>243</v>
      </c>
      <c r="M319" s="340">
        <v>278</v>
      </c>
      <c r="N319" s="390">
        <v>1</v>
      </c>
      <c r="O319" s="390">
        <v>0</v>
      </c>
      <c r="P319" s="390">
        <v>0</v>
      </c>
      <c r="Q319" s="391">
        <v>279</v>
      </c>
      <c r="R319" s="527">
        <v>121</v>
      </c>
    </row>
    <row r="320" spans="1:18" ht="15.75" customHeight="1" x14ac:dyDescent="0.35">
      <c r="A320" s="216" t="s">
        <v>70</v>
      </c>
    </row>
    <row r="322" spans="5:5" ht="15.75" customHeight="1" x14ac:dyDescent="0.35">
      <c r="E322" s="368" t="s">
        <v>108</v>
      </c>
    </row>
  </sheetData>
  <mergeCells count="33">
    <mergeCell ref="C19:G19"/>
    <mergeCell ref="H19:L19"/>
    <mergeCell ref="M19:R19"/>
    <mergeCell ref="C47:G47"/>
    <mergeCell ref="H47:L47"/>
    <mergeCell ref="M47:R47"/>
    <mergeCell ref="H156:L156"/>
    <mergeCell ref="M156:R156"/>
    <mergeCell ref="C75:G75"/>
    <mergeCell ref="H75:L75"/>
    <mergeCell ref="M75:R75"/>
    <mergeCell ref="C102:G102"/>
    <mergeCell ref="H102:L102"/>
    <mergeCell ref="M102:R102"/>
    <mergeCell ref="C129:G129"/>
    <mergeCell ref="H129:L129"/>
    <mergeCell ref="M129:R129"/>
    <mergeCell ref="C156:G156"/>
    <mergeCell ref="C296:G296"/>
    <mergeCell ref="H296:L296"/>
    <mergeCell ref="M296:R296"/>
    <mergeCell ref="C240:G240"/>
    <mergeCell ref="H240:L240"/>
    <mergeCell ref="M240:R240"/>
    <mergeCell ref="C267:G267"/>
    <mergeCell ref="H267:L267"/>
    <mergeCell ref="M267:R267"/>
    <mergeCell ref="C184:G184"/>
    <mergeCell ref="H184:L184"/>
    <mergeCell ref="M184:R184"/>
    <mergeCell ref="C212:G212"/>
    <mergeCell ref="H212:L212"/>
    <mergeCell ref="M212:R212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1" manualBreakCount="1">
    <brk id="44" max="16383" man="1"/>
  </rowBreaks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>
    <tabColor rgb="FFFF0000"/>
  </sheetPr>
  <dimension ref="A1:O31"/>
  <sheetViews>
    <sheetView showGridLines="0" topLeftCell="A6" zoomScaleNormal="100" workbookViewId="0">
      <selection activeCell="H7" sqref="H7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15.53515625" style="2" customWidth="1"/>
    <col min="4" max="4" width="13.53515625" style="2" customWidth="1"/>
    <col min="5" max="5" width="13.84375" style="2" customWidth="1"/>
    <col min="6" max="6" width="14.53515625" style="2" customWidth="1"/>
    <col min="7" max="7" width="14.53515625" style="413" customWidth="1"/>
    <col min="8" max="8" width="12.4609375" style="2" customWidth="1"/>
    <col min="9" max="9" width="11.84375" style="2" customWidth="1"/>
    <col min="10" max="10" width="11.84375" style="413" customWidth="1"/>
    <col min="11" max="16384" width="11.4609375" style="2"/>
  </cols>
  <sheetData>
    <row r="1" spans="1:15" x14ac:dyDescent="0.3">
      <c r="A1" s="107" t="s">
        <v>135</v>
      </c>
      <c r="B1" s="159"/>
    </row>
    <row r="2" spans="1:15" x14ac:dyDescent="0.3">
      <c r="A2" s="1" t="s">
        <v>0</v>
      </c>
    </row>
    <row r="3" spans="1:15" x14ac:dyDescent="0.3">
      <c r="A3" s="1"/>
    </row>
    <row r="4" spans="1:15" x14ac:dyDescent="0.3">
      <c r="A4" s="1" t="str">
        <f>A8</f>
        <v xml:space="preserve">Tabell 3 -9 -B - Søknader og avslag på søknad om bolig i Omsorg+ </v>
      </c>
    </row>
    <row r="5" spans="1:15" x14ac:dyDescent="0.3">
      <c r="A5" s="1"/>
    </row>
    <row r="6" spans="1:15" x14ac:dyDescent="0.3">
      <c r="A6" s="1"/>
      <c r="O6" s="1110"/>
    </row>
    <row r="7" spans="1:15" x14ac:dyDescent="0.3">
      <c r="K7" s="2" t="s">
        <v>474</v>
      </c>
    </row>
    <row r="8" spans="1:15" s="8" customFormat="1" ht="12.9" thickBot="1" x14ac:dyDescent="0.35">
      <c r="A8" s="7" t="s">
        <v>317</v>
      </c>
    </row>
    <row r="9" spans="1:15" s="84" customFormat="1" ht="58.3" thickBot="1" x14ac:dyDescent="0.35">
      <c r="A9" s="34" t="s">
        <v>2</v>
      </c>
      <c r="B9" s="50" t="s">
        <v>3</v>
      </c>
      <c r="C9" s="166" t="s">
        <v>221</v>
      </c>
      <c r="D9" s="167" t="s">
        <v>222</v>
      </c>
      <c r="E9" s="167" t="s">
        <v>223</v>
      </c>
      <c r="F9" s="167" t="s">
        <v>151</v>
      </c>
      <c r="G9" s="167" t="s">
        <v>314</v>
      </c>
      <c r="H9" s="168" t="s">
        <v>224</v>
      </c>
      <c r="I9" s="168" t="s">
        <v>153</v>
      </c>
      <c r="J9" s="1147" t="s">
        <v>154</v>
      </c>
      <c r="O9" s="1207"/>
    </row>
    <row r="10" spans="1:15" ht="12.9" x14ac:dyDescent="0.35">
      <c r="A10" s="17">
        <v>1</v>
      </c>
      <c r="B10" s="18" t="s">
        <v>14</v>
      </c>
      <c r="C10" s="1469">
        <v>3</v>
      </c>
      <c r="D10" s="1414">
        <v>63</v>
      </c>
      <c r="E10" s="1414">
        <v>51</v>
      </c>
      <c r="F10" s="1414">
        <v>0</v>
      </c>
      <c r="G10" s="1414">
        <v>2</v>
      </c>
      <c r="H10" s="1414">
        <v>6</v>
      </c>
      <c r="I10" s="1555">
        <v>7</v>
      </c>
      <c r="J10" s="1201">
        <f>E10/(E10+H10)</f>
        <v>0.89473684210526316</v>
      </c>
      <c r="L10" s="1110"/>
    </row>
    <row r="11" spans="1:15" ht="12.9" x14ac:dyDescent="0.35">
      <c r="A11" s="23">
        <v>2</v>
      </c>
      <c r="B11" s="24" t="s">
        <v>15</v>
      </c>
      <c r="C11" s="1470">
        <v>3</v>
      </c>
      <c r="D11" s="1418">
        <v>33</v>
      </c>
      <c r="E11" s="1418">
        <v>27</v>
      </c>
      <c r="F11" s="1418">
        <v>0</v>
      </c>
      <c r="G11" s="1418">
        <v>7</v>
      </c>
      <c r="H11" s="1418">
        <v>0</v>
      </c>
      <c r="I11" s="1556">
        <v>2</v>
      </c>
      <c r="J11" s="1202">
        <f t="shared" ref="J11:J31" si="0">E11/(E11+H11)</f>
        <v>1</v>
      </c>
      <c r="K11" s="413"/>
      <c r="L11" s="1110"/>
    </row>
    <row r="12" spans="1:15" ht="12.9" x14ac:dyDescent="0.35">
      <c r="A12" s="23">
        <v>3</v>
      </c>
      <c r="B12" s="24" t="s">
        <v>16</v>
      </c>
      <c r="C12" s="1470">
        <v>1</v>
      </c>
      <c r="D12" s="1418">
        <v>37</v>
      </c>
      <c r="E12" s="1418">
        <v>23</v>
      </c>
      <c r="F12" s="1418">
        <v>2</v>
      </c>
      <c r="G12" s="1418">
        <v>2</v>
      </c>
      <c r="H12" s="1418">
        <v>11</v>
      </c>
      <c r="I12" s="1556">
        <v>0</v>
      </c>
      <c r="J12" s="1202">
        <f t="shared" si="0"/>
        <v>0.67647058823529416</v>
      </c>
      <c r="K12" s="413"/>
      <c r="L12" s="1110"/>
    </row>
    <row r="13" spans="1:15" ht="12.9" x14ac:dyDescent="0.35">
      <c r="A13" s="23">
        <v>4</v>
      </c>
      <c r="B13" s="24" t="s">
        <v>17</v>
      </c>
      <c r="C13" s="1470">
        <v>2</v>
      </c>
      <c r="D13" s="1418">
        <v>29</v>
      </c>
      <c r="E13" s="1418">
        <v>14</v>
      </c>
      <c r="F13" s="1418">
        <v>0</v>
      </c>
      <c r="G13" s="1418">
        <v>1</v>
      </c>
      <c r="H13" s="1418">
        <v>6</v>
      </c>
      <c r="I13" s="1556">
        <v>10</v>
      </c>
      <c r="J13" s="1202">
        <f t="shared" si="0"/>
        <v>0.7</v>
      </c>
      <c r="K13" s="413"/>
      <c r="L13" s="1110"/>
    </row>
    <row r="14" spans="1:15" ht="12.9" x14ac:dyDescent="0.35">
      <c r="A14" s="23">
        <v>5</v>
      </c>
      <c r="B14" s="24" t="s">
        <v>18</v>
      </c>
      <c r="C14" s="1470">
        <v>3</v>
      </c>
      <c r="D14" s="1418">
        <v>13</v>
      </c>
      <c r="E14" s="1418">
        <v>8</v>
      </c>
      <c r="F14" s="1418">
        <v>1</v>
      </c>
      <c r="G14" s="1418">
        <v>3</v>
      </c>
      <c r="H14" s="1418">
        <v>4</v>
      </c>
      <c r="I14" s="1556">
        <v>0</v>
      </c>
      <c r="J14" s="1202">
        <f t="shared" si="0"/>
        <v>0.66666666666666663</v>
      </c>
      <c r="K14" s="413"/>
      <c r="L14" s="1110"/>
    </row>
    <row r="15" spans="1:15" ht="12.9" x14ac:dyDescent="0.35">
      <c r="A15" s="25">
        <v>6</v>
      </c>
      <c r="B15" s="26" t="s">
        <v>19</v>
      </c>
      <c r="C15" s="1470">
        <v>5</v>
      </c>
      <c r="D15" s="1418">
        <v>25</v>
      </c>
      <c r="E15" s="1418">
        <v>20</v>
      </c>
      <c r="F15" s="1418">
        <v>2</v>
      </c>
      <c r="G15" s="1418">
        <v>2</v>
      </c>
      <c r="H15" s="1418">
        <v>2</v>
      </c>
      <c r="I15" s="1556">
        <v>4</v>
      </c>
      <c r="J15" s="1202">
        <f t="shared" si="0"/>
        <v>0.90909090909090906</v>
      </c>
      <c r="K15" s="413"/>
      <c r="L15" s="1110"/>
      <c r="O15" s="2" t="s">
        <v>108</v>
      </c>
    </row>
    <row r="16" spans="1:15" ht="12.9" x14ac:dyDescent="0.35">
      <c r="A16" s="25">
        <v>7</v>
      </c>
      <c r="B16" s="26" t="s">
        <v>20</v>
      </c>
      <c r="C16" s="1470">
        <v>1</v>
      </c>
      <c r="D16" s="1418">
        <v>11</v>
      </c>
      <c r="E16" s="1418">
        <v>5</v>
      </c>
      <c r="F16" s="1418">
        <v>0</v>
      </c>
      <c r="G16" s="1418">
        <v>1</v>
      </c>
      <c r="H16" s="1418">
        <v>2</v>
      </c>
      <c r="I16" s="1556">
        <v>4</v>
      </c>
      <c r="J16" s="1202">
        <f t="shared" si="0"/>
        <v>0.7142857142857143</v>
      </c>
      <c r="K16" s="413"/>
      <c r="L16" s="1110"/>
    </row>
    <row r="17" spans="1:12" ht="12.9" x14ac:dyDescent="0.35">
      <c r="A17" s="23">
        <v>8</v>
      </c>
      <c r="B17" s="24" t="s">
        <v>21</v>
      </c>
      <c r="C17" s="1470">
        <v>0</v>
      </c>
      <c r="D17" s="1418">
        <v>15</v>
      </c>
      <c r="E17" s="1418">
        <v>11</v>
      </c>
      <c r="F17" s="1418">
        <v>0</v>
      </c>
      <c r="G17" s="1418">
        <v>3</v>
      </c>
      <c r="H17" s="1418">
        <v>1</v>
      </c>
      <c r="I17" s="1556">
        <v>0</v>
      </c>
      <c r="J17" s="1202">
        <f t="shared" si="0"/>
        <v>0.91666666666666663</v>
      </c>
      <c r="K17" s="413"/>
      <c r="L17" s="1110"/>
    </row>
    <row r="18" spans="1:12" ht="12.9" x14ac:dyDescent="0.35">
      <c r="A18" s="23">
        <v>9</v>
      </c>
      <c r="B18" s="24" t="s">
        <v>22</v>
      </c>
      <c r="C18" s="1470">
        <v>9</v>
      </c>
      <c r="D18" s="1418">
        <v>68</v>
      </c>
      <c r="E18" s="1418">
        <v>45</v>
      </c>
      <c r="F18" s="1418">
        <v>6</v>
      </c>
      <c r="G18" s="1418">
        <v>6</v>
      </c>
      <c r="H18" s="1418">
        <v>15</v>
      </c>
      <c r="I18" s="1556">
        <v>5</v>
      </c>
      <c r="J18" s="1202">
        <f t="shared" si="0"/>
        <v>0.75</v>
      </c>
      <c r="K18" s="413"/>
      <c r="L18" s="1110"/>
    </row>
    <row r="19" spans="1:12" ht="12.9" x14ac:dyDescent="0.35">
      <c r="A19" s="23">
        <v>10</v>
      </c>
      <c r="B19" s="24" t="s">
        <v>23</v>
      </c>
      <c r="C19" s="1470">
        <v>17</v>
      </c>
      <c r="D19" s="1418">
        <v>70</v>
      </c>
      <c r="E19" s="1418">
        <v>67</v>
      </c>
      <c r="F19" s="1418">
        <v>6</v>
      </c>
      <c r="G19" s="1418">
        <v>6</v>
      </c>
      <c r="H19" s="1418">
        <v>1</v>
      </c>
      <c r="I19" s="1556">
        <v>7</v>
      </c>
      <c r="J19" s="1202">
        <f t="shared" si="0"/>
        <v>0.98529411764705888</v>
      </c>
      <c r="K19" s="413"/>
      <c r="L19" s="1110"/>
    </row>
    <row r="20" spans="1:12" ht="12.9" x14ac:dyDescent="0.35">
      <c r="A20" s="25">
        <v>11</v>
      </c>
      <c r="B20" s="26" t="s">
        <v>24</v>
      </c>
      <c r="C20" s="1470">
        <v>0</v>
      </c>
      <c r="D20" s="1418">
        <v>5</v>
      </c>
      <c r="E20" s="1418">
        <v>5</v>
      </c>
      <c r="F20" s="1418">
        <v>0</v>
      </c>
      <c r="G20" s="1418">
        <v>0</v>
      </c>
      <c r="H20" s="1418">
        <v>0</v>
      </c>
      <c r="I20" s="1556">
        <v>0</v>
      </c>
      <c r="J20" s="1202">
        <f t="shared" si="0"/>
        <v>1</v>
      </c>
      <c r="K20" s="413"/>
      <c r="L20" s="1110"/>
    </row>
    <row r="21" spans="1:12" ht="12.9" x14ac:dyDescent="0.35">
      <c r="A21" s="23">
        <v>12</v>
      </c>
      <c r="B21" s="24" t="s">
        <v>25</v>
      </c>
      <c r="C21" s="1470">
        <v>17</v>
      </c>
      <c r="D21" s="1418">
        <v>25</v>
      </c>
      <c r="E21" s="1418">
        <v>23</v>
      </c>
      <c r="F21" s="1418">
        <v>3</v>
      </c>
      <c r="G21" s="1418">
        <v>2</v>
      </c>
      <c r="H21" s="1418">
        <v>1</v>
      </c>
      <c r="I21" s="1556">
        <v>13</v>
      </c>
      <c r="J21" s="1202">
        <f t="shared" si="0"/>
        <v>0.95833333333333337</v>
      </c>
      <c r="K21" s="413"/>
      <c r="L21" s="1110"/>
    </row>
    <row r="22" spans="1:12" ht="12.9" x14ac:dyDescent="0.35">
      <c r="A22" s="23">
        <v>13</v>
      </c>
      <c r="B22" s="24" t="s">
        <v>26</v>
      </c>
      <c r="C22" s="1470">
        <v>9</v>
      </c>
      <c r="D22" s="1418">
        <v>45</v>
      </c>
      <c r="E22" s="1418">
        <v>13</v>
      </c>
      <c r="F22" s="1418">
        <v>8</v>
      </c>
      <c r="G22" s="1418">
        <v>12</v>
      </c>
      <c r="H22" s="1418">
        <v>8</v>
      </c>
      <c r="I22" s="1556">
        <v>13</v>
      </c>
      <c r="J22" s="1202">
        <f t="shared" si="0"/>
        <v>0.61904761904761907</v>
      </c>
      <c r="K22" s="413"/>
      <c r="L22" s="1110"/>
    </row>
    <row r="23" spans="1:12" ht="12.9" x14ac:dyDescent="0.35">
      <c r="A23" s="23">
        <v>14</v>
      </c>
      <c r="B23" s="24" t="s">
        <v>27</v>
      </c>
      <c r="C23" s="1470">
        <v>6</v>
      </c>
      <c r="D23" s="1418">
        <v>44</v>
      </c>
      <c r="E23" s="1418">
        <v>25</v>
      </c>
      <c r="F23" s="1418">
        <v>3</v>
      </c>
      <c r="G23" s="1418">
        <v>9</v>
      </c>
      <c r="H23" s="1418">
        <v>2</v>
      </c>
      <c r="I23" s="1556">
        <v>11</v>
      </c>
      <c r="J23" s="1202">
        <f t="shared" si="0"/>
        <v>0.92592592592592593</v>
      </c>
      <c r="K23" s="413"/>
      <c r="L23" s="1110"/>
    </row>
    <row r="24" spans="1:12" ht="13.3" thickBot="1" x14ac:dyDescent="0.4">
      <c r="A24" s="27">
        <v>15</v>
      </c>
      <c r="B24" s="28" t="s">
        <v>28</v>
      </c>
      <c r="C24" s="1471">
        <v>0</v>
      </c>
      <c r="D24" s="1422">
        <v>8</v>
      </c>
      <c r="E24" s="1422">
        <v>0</v>
      </c>
      <c r="F24" s="1422">
        <v>0</v>
      </c>
      <c r="G24" s="1422">
        <v>2</v>
      </c>
      <c r="H24" s="1422">
        <v>4</v>
      </c>
      <c r="I24" s="1557">
        <v>2</v>
      </c>
      <c r="J24" s="1203">
        <f t="shared" si="0"/>
        <v>0</v>
      </c>
      <c r="K24" s="413"/>
      <c r="L24" s="1110"/>
    </row>
    <row r="25" spans="1:12" s="30" customFormat="1" x14ac:dyDescent="0.3">
      <c r="A25" s="406"/>
      <c r="B25" s="404" t="s">
        <v>555</v>
      </c>
      <c r="C25" s="873">
        <f>SUM(C10:C24)</f>
        <v>76</v>
      </c>
      <c r="D25" s="829">
        <f t="shared" ref="D25:I25" si="1">SUM(D10:D24)</f>
        <v>491</v>
      </c>
      <c r="E25" s="829">
        <f t="shared" si="1"/>
        <v>337</v>
      </c>
      <c r="F25" s="829">
        <f t="shared" si="1"/>
        <v>31</v>
      </c>
      <c r="G25" s="829">
        <f t="shared" si="1"/>
        <v>58</v>
      </c>
      <c r="H25" s="829">
        <f t="shared" si="1"/>
        <v>63</v>
      </c>
      <c r="I25" s="1200">
        <f t="shared" si="1"/>
        <v>78</v>
      </c>
      <c r="J25" s="1204">
        <f t="shared" si="0"/>
        <v>0.84250000000000003</v>
      </c>
      <c r="K25" s="413"/>
      <c r="L25" s="1110"/>
    </row>
    <row r="26" spans="1:12" s="413" customFormat="1" x14ac:dyDescent="0.3">
      <c r="A26" s="416"/>
      <c r="B26" s="407" t="s">
        <v>473</v>
      </c>
      <c r="C26" s="686">
        <v>68</v>
      </c>
      <c r="D26" s="350">
        <v>509</v>
      </c>
      <c r="E26" s="350">
        <v>386</v>
      </c>
      <c r="F26" s="350">
        <v>33</v>
      </c>
      <c r="G26" s="350">
        <v>43</v>
      </c>
      <c r="H26" s="350">
        <v>68</v>
      </c>
      <c r="I26" s="900">
        <v>47</v>
      </c>
      <c r="J26" s="1202">
        <v>0.85022026431718056</v>
      </c>
      <c r="L26" s="1110"/>
    </row>
    <row r="27" spans="1:12" s="413" customFormat="1" x14ac:dyDescent="0.3">
      <c r="A27" s="416"/>
      <c r="B27" s="407" t="s">
        <v>433</v>
      </c>
      <c r="C27" s="686">
        <v>200</v>
      </c>
      <c r="D27" s="350">
        <v>419</v>
      </c>
      <c r="E27" s="350">
        <v>306</v>
      </c>
      <c r="F27" s="350">
        <v>33</v>
      </c>
      <c r="G27" s="350">
        <v>38</v>
      </c>
      <c r="H27" s="350">
        <v>55</v>
      </c>
      <c r="I27" s="900">
        <v>187</v>
      </c>
      <c r="J27" s="1202">
        <f t="shared" si="0"/>
        <v>0.8476454293628809</v>
      </c>
      <c r="L27" s="1110"/>
    </row>
    <row r="28" spans="1:12" s="346" customFormat="1" x14ac:dyDescent="0.3">
      <c r="A28" s="416"/>
      <c r="B28" s="407" t="s">
        <v>376</v>
      </c>
      <c r="C28" s="686">
        <v>169</v>
      </c>
      <c r="D28" s="350">
        <v>393</v>
      </c>
      <c r="E28" s="350">
        <v>227</v>
      </c>
      <c r="F28" s="350">
        <v>39</v>
      </c>
      <c r="G28" s="350">
        <v>49</v>
      </c>
      <c r="H28" s="350">
        <v>80</v>
      </c>
      <c r="I28" s="900">
        <v>190</v>
      </c>
      <c r="J28" s="1202">
        <f t="shared" si="0"/>
        <v>0.73941368078175895</v>
      </c>
      <c r="K28" s="413"/>
      <c r="L28" s="1110"/>
    </row>
    <row r="29" spans="1:12" s="413" customFormat="1" x14ac:dyDescent="0.3">
      <c r="A29" s="416"/>
      <c r="B29" s="407" t="s">
        <v>338</v>
      </c>
      <c r="C29" s="686">
        <v>70</v>
      </c>
      <c r="D29" s="350">
        <v>328</v>
      </c>
      <c r="E29" s="350">
        <v>230</v>
      </c>
      <c r="F29" s="350">
        <v>27</v>
      </c>
      <c r="G29" s="350">
        <v>28</v>
      </c>
      <c r="H29" s="350">
        <v>79</v>
      </c>
      <c r="I29" s="900">
        <v>57</v>
      </c>
      <c r="J29" s="1202">
        <f t="shared" si="0"/>
        <v>0.74433656957928807</v>
      </c>
      <c r="L29" s="1110"/>
    </row>
    <row r="30" spans="1:12" s="413" customFormat="1" x14ac:dyDescent="0.3">
      <c r="A30" s="367"/>
      <c r="B30" s="366" t="s">
        <v>316</v>
      </c>
      <c r="C30" s="156">
        <v>30</v>
      </c>
      <c r="D30" s="103">
        <v>335</v>
      </c>
      <c r="E30" s="103">
        <v>168</v>
      </c>
      <c r="F30" s="103">
        <v>20</v>
      </c>
      <c r="G30" s="103">
        <v>22</v>
      </c>
      <c r="H30" s="103">
        <v>77</v>
      </c>
      <c r="I30" s="164">
        <v>99</v>
      </c>
      <c r="J30" s="1205">
        <f t="shared" si="0"/>
        <v>0.68571428571428572</v>
      </c>
      <c r="L30" s="1110"/>
    </row>
    <row r="31" spans="1:12" s="413" customFormat="1" ht="12" thickBot="1" x14ac:dyDescent="0.35">
      <c r="A31" s="403"/>
      <c r="B31" s="405" t="s">
        <v>263</v>
      </c>
      <c r="C31" s="535">
        <v>42</v>
      </c>
      <c r="D31" s="105">
        <v>299</v>
      </c>
      <c r="E31" s="105">
        <v>168</v>
      </c>
      <c r="F31" s="105">
        <v>50</v>
      </c>
      <c r="G31" s="688" t="s">
        <v>313</v>
      </c>
      <c r="H31" s="105">
        <v>88</v>
      </c>
      <c r="I31" s="165">
        <v>35</v>
      </c>
      <c r="J31" s="1206">
        <f t="shared" si="0"/>
        <v>0.65625</v>
      </c>
      <c r="K31" s="1149"/>
      <c r="L31" s="1110"/>
    </row>
  </sheetData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>
    <tabColor rgb="FFFF0000"/>
  </sheetPr>
  <dimension ref="A1:J31"/>
  <sheetViews>
    <sheetView showGridLines="0" topLeftCell="A2" zoomScaleNormal="100" workbookViewId="0">
      <selection activeCell="H4" sqref="H4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15.53515625" style="2" customWidth="1"/>
    <col min="4" max="4" width="13.53515625" style="2" customWidth="1"/>
    <col min="5" max="5" width="13.84375" style="2" customWidth="1"/>
    <col min="6" max="6" width="14.53515625" style="2" customWidth="1"/>
    <col min="7" max="8" width="12.4609375" style="2" customWidth="1"/>
    <col min="9" max="9" width="12.4609375" style="413" customWidth="1"/>
    <col min="10" max="10" width="13.4609375" style="2" customWidth="1"/>
    <col min="11" max="16384" width="11.4609375" style="2"/>
  </cols>
  <sheetData>
    <row r="1" spans="1:10" x14ac:dyDescent="0.3">
      <c r="A1" s="107" t="s">
        <v>135</v>
      </c>
      <c r="B1" s="159"/>
    </row>
    <row r="2" spans="1:10" x14ac:dyDescent="0.3">
      <c r="A2" s="1" t="s">
        <v>0</v>
      </c>
    </row>
    <row r="3" spans="1:10" x14ac:dyDescent="0.3">
      <c r="A3" s="1"/>
    </row>
    <row r="4" spans="1:10" x14ac:dyDescent="0.3">
      <c r="A4" s="1" t="str">
        <f>A8</f>
        <v xml:space="preserve">Tabell 3-9-C Klager etter avslag på søknad om Omsorg+ </v>
      </c>
    </row>
    <row r="5" spans="1:10" x14ac:dyDescent="0.3">
      <c r="A5" s="1"/>
    </row>
    <row r="6" spans="1:10" x14ac:dyDescent="0.3">
      <c r="A6" s="1"/>
    </row>
    <row r="8" spans="1:10" s="8" customFormat="1" ht="12.9" thickBot="1" x14ac:dyDescent="0.35">
      <c r="A8" s="7" t="s">
        <v>319</v>
      </c>
    </row>
    <row r="9" spans="1:10" s="84" customFormat="1" ht="93" thickBot="1" x14ac:dyDescent="0.35">
      <c r="A9" s="34" t="s">
        <v>2</v>
      </c>
      <c r="B9" s="33" t="s">
        <v>3</v>
      </c>
      <c r="C9" s="34" t="s">
        <v>270</v>
      </c>
      <c r="D9" s="35" t="s">
        <v>271</v>
      </c>
      <c r="E9" s="35" t="s">
        <v>272</v>
      </c>
      <c r="F9" s="52" t="s">
        <v>273</v>
      </c>
      <c r="G9" s="150" t="s">
        <v>274</v>
      </c>
      <c r="H9" s="54" t="s">
        <v>225</v>
      </c>
      <c r="I9" s="35" t="s">
        <v>318</v>
      </c>
      <c r="J9" s="33" t="s">
        <v>226</v>
      </c>
    </row>
    <row r="10" spans="1:10" x14ac:dyDescent="0.3">
      <c r="A10" s="180">
        <v>1</v>
      </c>
      <c r="B10" s="181" t="s">
        <v>14</v>
      </c>
      <c r="C10" s="160">
        <v>1</v>
      </c>
      <c r="D10" s="161">
        <v>0</v>
      </c>
      <c r="E10" s="161">
        <v>1</v>
      </c>
      <c r="F10" s="1199">
        <v>0</v>
      </c>
      <c r="G10" s="1571">
        <f>D10+F10</f>
        <v>0</v>
      </c>
      <c r="H10" s="1566">
        <v>0</v>
      </c>
      <c r="I10" s="1560">
        <v>0</v>
      </c>
      <c r="J10" s="1561">
        <v>1</v>
      </c>
    </row>
    <row r="11" spans="1:10" x14ac:dyDescent="0.3">
      <c r="A11" s="70">
        <v>2</v>
      </c>
      <c r="B11" s="24" t="s">
        <v>15</v>
      </c>
      <c r="C11" s="163">
        <v>0</v>
      </c>
      <c r="D11" s="103">
        <v>0</v>
      </c>
      <c r="E11" s="103">
        <v>0</v>
      </c>
      <c r="F11" s="164">
        <v>0</v>
      </c>
      <c r="G11" s="1572">
        <f t="shared" ref="G11:G24" si="0">D11+F11</f>
        <v>0</v>
      </c>
      <c r="H11" s="1567">
        <v>0</v>
      </c>
      <c r="I11" s="1562">
        <v>0</v>
      </c>
      <c r="J11" s="1563">
        <v>0</v>
      </c>
    </row>
    <row r="12" spans="1:10" x14ac:dyDescent="0.3">
      <c r="A12" s="70">
        <v>3</v>
      </c>
      <c r="B12" s="24" t="s">
        <v>16</v>
      </c>
      <c r="C12" s="163">
        <v>1</v>
      </c>
      <c r="D12" s="103">
        <v>0</v>
      </c>
      <c r="E12" s="103">
        <v>1</v>
      </c>
      <c r="F12" s="164">
        <v>0</v>
      </c>
      <c r="G12" s="1572">
        <f t="shared" si="0"/>
        <v>0</v>
      </c>
      <c r="H12" s="1567">
        <v>0</v>
      </c>
      <c r="I12" s="1562">
        <v>0</v>
      </c>
      <c r="J12" s="1563">
        <v>0</v>
      </c>
    </row>
    <row r="13" spans="1:10" x14ac:dyDescent="0.3">
      <c r="A13" s="70">
        <v>4</v>
      </c>
      <c r="B13" s="24" t="s">
        <v>17</v>
      </c>
      <c r="C13" s="163">
        <v>0</v>
      </c>
      <c r="D13" s="103">
        <v>0</v>
      </c>
      <c r="E13" s="103">
        <v>1</v>
      </c>
      <c r="F13" s="164">
        <v>0</v>
      </c>
      <c r="G13" s="1572">
        <f t="shared" si="0"/>
        <v>0</v>
      </c>
      <c r="H13" s="1567">
        <v>0</v>
      </c>
      <c r="I13" s="1562">
        <v>0</v>
      </c>
      <c r="J13" s="1563">
        <v>0</v>
      </c>
    </row>
    <row r="14" spans="1:10" x14ac:dyDescent="0.3">
      <c r="A14" s="70">
        <v>5</v>
      </c>
      <c r="B14" s="24" t="s">
        <v>18</v>
      </c>
      <c r="C14" s="163">
        <v>0</v>
      </c>
      <c r="D14" s="103">
        <v>0</v>
      </c>
      <c r="E14" s="103">
        <v>0</v>
      </c>
      <c r="F14" s="164">
        <v>0</v>
      </c>
      <c r="G14" s="1572">
        <f t="shared" si="0"/>
        <v>0</v>
      </c>
      <c r="H14" s="1567">
        <v>0</v>
      </c>
      <c r="I14" s="1562">
        <v>0</v>
      </c>
      <c r="J14" s="1563">
        <v>0</v>
      </c>
    </row>
    <row r="15" spans="1:10" x14ac:dyDescent="0.3">
      <c r="A15" s="71">
        <v>6</v>
      </c>
      <c r="B15" s="26" t="s">
        <v>19</v>
      </c>
      <c r="C15" s="163">
        <v>0</v>
      </c>
      <c r="D15" s="103">
        <v>0</v>
      </c>
      <c r="E15" s="103">
        <v>0</v>
      </c>
      <c r="F15" s="164">
        <v>0</v>
      </c>
      <c r="G15" s="1572">
        <f t="shared" si="0"/>
        <v>0</v>
      </c>
      <c r="H15" s="1567">
        <v>0</v>
      </c>
      <c r="I15" s="1562">
        <v>0</v>
      </c>
      <c r="J15" s="1563">
        <v>0</v>
      </c>
    </row>
    <row r="16" spans="1:10" x14ac:dyDescent="0.3">
      <c r="A16" s="71">
        <v>7</v>
      </c>
      <c r="B16" s="26" t="s">
        <v>20</v>
      </c>
      <c r="C16" s="163">
        <v>0</v>
      </c>
      <c r="D16" s="103">
        <v>0</v>
      </c>
      <c r="E16" s="103">
        <v>0</v>
      </c>
      <c r="F16" s="164">
        <v>0</v>
      </c>
      <c r="G16" s="1572">
        <f t="shared" si="0"/>
        <v>0</v>
      </c>
      <c r="H16" s="1567">
        <v>0</v>
      </c>
      <c r="I16" s="1562">
        <v>0</v>
      </c>
      <c r="J16" s="1563">
        <v>0</v>
      </c>
    </row>
    <row r="17" spans="1:10" x14ac:dyDescent="0.3">
      <c r="A17" s="70">
        <v>8</v>
      </c>
      <c r="B17" s="24" t="s">
        <v>21</v>
      </c>
      <c r="C17" s="163">
        <v>0</v>
      </c>
      <c r="D17" s="103">
        <v>0</v>
      </c>
      <c r="E17" s="103">
        <v>0</v>
      </c>
      <c r="F17" s="164">
        <v>0</v>
      </c>
      <c r="G17" s="1572">
        <f t="shared" si="0"/>
        <v>0</v>
      </c>
      <c r="H17" s="1567">
        <v>0</v>
      </c>
      <c r="I17" s="1562">
        <v>0</v>
      </c>
      <c r="J17" s="1563">
        <v>0</v>
      </c>
    </row>
    <row r="18" spans="1:10" x14ac:dyDescent="0.3">
      <c r="A18" s="70">
        <v>9</v>
      </c>
      <c r="B18" s="24" t="s">
        <v>22</v>
      </c>
      <c r="C18" s="163">
        <v>2</v>
      </c>
      <c r="D18" s="103">
        <v>0</v>
      </c>
      <c r="E18" s="103">
        <v>2</v>
      </c>
      <c r="F18" s="164">
        <v>0</v>
      </c>
      <c r="G18" s="1572">
        <f t="shared" si="0"/>
        <v>0</v>
      </c>
      <c r="H18" s="1567">
        <v>1</v>
      </c>
      <c r="I18" s="1562">
        <v>0</v>
      </c>
      <c r="J18" s="1563">
        <v>1</v>
      </c>
    </row>
    <row r="19" spans="1:10" x14ac:dyDescent="0.3">
      <c r="A19" s="70">
        <v>10</v>
      </c>
      <c r="B19" s="24" t="s">
        <v>23</v>
      </c>
      <c r="C19" s="163">
        <v>0</v>
      </c>
      <c r="D19" s="103">
        <v>0</v>
      </c>
      <c r="E19" s="103">
        <v>0</v>
      </c>
      <c r="F19" s="164">
        <v>0</v>
      </c>
      <c r="G19" s="1572">
        <f t="shared" si="0"/>
        <v>0</v>
      </c>
      <c r="H19" s="1567">
        <v>0</v>
      </c>
      <c r="I19" s="1562">
        <v>0</v>
      </c>
      <c r="J19" s="1563">
        <v>0</v>
      </c>
    </row>
    <row r="20" spans="1:10" x14ac:dyDescent="0.3">
      <c r="A20" s="71">
        <v>11</v>
      </c>
      <c r="B20" s="26" t="s">
        <v>24</v>
      </c>
      <c r="C20" s="163">
        <v>0</v>
      </c>
      <c r="D20" s="103">
        <v>0</v>
      </c>
      <c r="E20" s="103">
        <v>0</v>
      </c>
      <c r="F20" s="164">
        <v>0</v>
      </c>
      <c r="G20" s="1572">
        <f t="shared" si="0"/>
        <v>0</v>
      </c>
      <c r="H20" s="1567">
        <v>0</v>
      </c>
      <c r="I20" s="1562">
        <v>0</v>
      </c>
      <c r="J20" s="1563">
        <v>0</v>
      </c>
    </row>
    <row r="21" spans="1:10" x14ac:dyDescent="0.3">
      <c r="A21" s="70">
        <v>12</v>
      </c>
      <c r="B21" s="24" t="s">
        <v>25</v>
      </c>
      <c r="C21" s="163">
        <v>0</v>
      </c>
      <c r="D21" s="103">
        <v>0</v>
      </c>
      <c r="E21" s="103">
        <v>0</v>
      </c>
      <c r="F21" s="164">
        <v>0</v>
      </c>
      <c r="G21" s="1572">
        <f t="shared" si="0"/>
        <v>0</v>
      </c>
      <c r="H21" s="1567">
        <v>0</v>
      </c>
      <c r="I21" s="1562">
        <v>0</v>
      </c>
      <c r="J21" s="1563">
        <v>0</v>
      </c>
    </row>
    <row r="22" spans="1:10" x14ac:dyDescent="0.3">
      <c r="A22" s="70">
        <v>13</v>
      </c>
      <c r="B22" s="24" t="s">
        <v>26</v>
      </c>
      <c r="C22" s="163">
        <v>3</v>
      </c>
      <c r="D22" s="103">
        <v>1</v>
      </c>
      <c r="E22" s="103">
        <v>0</v>
      </c>
      <c r="F22" s="164">
        <v>0</v>
      </c>
      <c r="G22" s="1572">
        <f t="shared" si="0"/>
        <v>1</v>
      </c>
      <c r="H22" s="1567">
        <v>1</v>
      </c>
      <c r="I22" s="1562">
        <v>1</v>
      </c>
      <c r="J22" s="1563">
        <v>0</v>
      </c>
    </row>
    <row r="23" spans="1:10" x14ac:dyDescent="0.3">
      <c r="A23" s="70">
        <v>14</v>
      </c>
      <c r="B23" s="24" t="s">
        <v>27</v>
      </c>
      <c r="C23" s="163">
        <v>0</v>
      </c>
      <c r="D23" s="103">
        <v>0</v>
      </c>
      <c r="E23" s="103">
        <v>0</v>
      </c>
      <c r="F23" s="164">
        <v>0</v>
      </c>
      <c r="G23" s="1572">
        <f t="shared" si="0"/>
        <v>0</v>
      </c>
      <c r="H23" s="1567">
        <v>0</v>
      </c>
      <c r="I23" s="1562">
        <v>0</v>
      </c>
      <c r="J23" s="1563">
        <v>0</v>
      </c>
    </row>
    <row r="24" spans="1:10" ht="12" thickBot="1" x14ac:dyDescent="0.35">
      <c r="A24" s="76">
        <v>15</v>
      </c>
      <c r="B24" s="28" t="s">
        <v>28</v>
      </c>
      <c r="C24" s="106">
        <v>1</v>
      </c>
      <c r="D24" s="105">
        <v>0</v>
      </c>
      <c r="E24" s="105">
        <v>0</v>
      </c>
      <c r="F24" s="165">
        <v>0</v>
      </c>
      <c r="G24" s="1573">
        <f t="shared" si="0"/>
        <v>0</v>
      </c>
      <c r="H24" s="1568">
        <v>1</v>
      </c>
      <c r="I24" s="1564">
        <v>0</v>
      </c>
      <c r="J24" s="1565">
        <v>0</v>
      </c>
    </row>
    <row r="25" spans="1:10" s="413" customFormat="1" x14ac:dyDescent="0.3">
      <c r="A25" s="414"/>
      <c r="B25" s="655" t="s">
        <v>555</v>
      </c>
      <c r="C25" s="1575">
        <f>SUM(C10:C24)</f>
        <v>8</v>
      </c>
      <c r="D25" s="102">
        <f t="shared" ref="D25:I25" si="1">SUM(D10:D24)</f>
        <v>1</v>
      </c>
      <c r="E25" s="102">
        <f t="shared" si="1"/>
        <v>5</v>
      </c>
      <c r="F25" s="1576">
        <f t="shared" si="1"/>
        <v>0</v>
      </c>
      <c r="G25" s="1577">
        <f t="shared" ref="G25" si="2">D25+F25</f>
        <v>1</v>
      </c>
      <c r="H25" s="1578">
        <f t="shared" si="1"/>
        <v>3</v>
      </c>
      <c r="I25" s="102">
        <f t="shared" si="1"/>
        <v>1</v>
      </c>
      <c r="J25" s="1579">
        <f>SUM(J10:J24)</f>
        <v>2</v>
      </c>
    </row>
    <row r="26" spans="1:10" s="413" customFormat="1" x14ac:dyDescent="0.3">
      <c r="A26" s="1294"/>
      <c r="B26" s="26" t="s">
        <v>473</v>
      </c>
      <c r="C26" s="1558">
        <v>11</v>
      </c>
      <c r="D26" s="350">
        <v>1</v>
      </c>
      <c r="E26" s="350">
        <v>3</v>
      </c>
      <c r="F26" s="900">
        <v>0</v>
      </c>
      <c r="G26" s="1574">
        <v>1</v>
      </c>
      <c r="H26" s="1569">
        <v>4</v>
      </c>
      <c r="I26" s="350">
        <v>0</v>
      </c>
      <c r="J26" s="1559">
        <v>2</v>
      </c>
    </row>
    <row r="27" spans="1:10" s="413" customFormat="1" x14ac:dyDescent="0.3">
      <c r="A27" s="1294"/>
      <c r="B27" s="26" t="s">
        <v>433</v>
      </c>
      <c r="C27" s="163">
        <v>15</v>
      </c>
      <c r="D27" s="103">
        <v>5</v>
      </c>
      <c r="E27" s="103">
        <v>3</v>
      </c>
      <c r="F27" s="164">
        <v>1</v>
      </c>
      <c r="G27" s="1572">
        <v>6</v>
      </c>
      <c r="H27" s="1570">
        <v>6</v>
      </c>
      <c r="I27" s="103">
        <v>1</v>
      </c>
      <c r="J27" s="148">
        <v>1</v>
      </c>
    </row>
    <row r="28" spans="1:10" s="413" customFormat="1" x14ac:dyDescent="0.3">
      <c r="A28" s="71"/>
      <c r="B28" s="26" t="s">
        <v>376</v>
      </c>
      <c r="C28" s="163">
        <v>16</v>
      </c>
      <c r="D28" s="103">
        <v>6</v>
      </c>
      <c r="E28" s="103">
        <v>9</v>
      </c>
      <c r="F28" s="164">
        <v>0</v>
      </c>
      <c r="G28" s="1572">
        <v>6</v>
      </c>
      <c r="H28" s="1570">
        <v>2</v>
      </c>
      <c r="I28" s="103">
        <v>3</v>
      </c>
      <c r="J28" s="148">
        <v>4</v>
      </c>
    </row>
    <row r="29" spans="1:10" s="413" customFormat="1" x14ac:dyDescent="0.3">
      <c r="A29" s="71"/>
      <c r="B29" s="26" t="s">
        <v>338</v>
      </c>
      <c r="C29" s="163">
        <v>12</v>
      </c>
      <c r="D29" s="103">
        <v>2</v>
      </c>
      <c r="E29" s="103">
        <v>12</v>
      </c>
      <c r="F29" s="164">
        <v>2</v>
      </c>
      <c r="G29" s="1572">
        <v>4</v>
      </c>
      <c r="H29" s="1570">
        <v>6</v>
      </c>
      <c r="I29" s="103">
        <v>0</v>
      </c>
      <c r="J29" s="148">
        <v>4</v>
      </c>
    </row>
    <row r="30" spans="1:10" s="413" customFormat="1" x14ac:dyDescent="0.3">
      <c r="A30" s="71"/>
      <c r="B30" s="26" t="s">
        <v>316</v>
      </c>
      <c r="C30" s="163">
        <v>29</v>
      </c>
      <c r="D30" s="103">
        <v>8</v>
      </c>
      <c r="E30" s="103">
        <v>15</v>
      </c>
      <c r="F30" s="164">
        <v>3</v>
      </c>
      <c r="G30" s="1572">
        <v>11</v>
      </c>
      <c r="H30" s="1570">
        <v>6</v>
      </c>
      <c r="I30" s="103">
        <v>3</v>
      </c>
      <c r="J30" s="148">
        <v>7</v>
      </c>
    </row>
    <row r="31" spans="1:10" s="413" customFormat="1" ht="12" thickBot="1" x14ac:dyDescent="0.35">
      <c r="A31" s="974"/>
      <c r="B31" s="93" t="s">
        <v>263</v>
      </c>
      <c r="C31" s="106">
        <v>13</v>
      </c>
      <c r="D31" s="105">
        <v>3</v>
      </c>
      <c r="E31" s="105">
        <v>5</v>
      </c>
      <c r="F31" s="165">
        <v>2</v>
      </c>
      <c r="G31" s="1573">
        <v>5</v>
      </c>
      <c r="H31" s="1580">
        <v>4</v>
      </c>
      <c r="I31" s="105" t="s">
        <v>313</v>
      </c>
      <c r="J31" s="654">
        <v>1</v>
      </c>
    </row>
  </sheetData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9">
    <tabColor rgb="FFFF0000"/>
  </sheetPr>
  <dimension ref="A1:U33"/>
  <sheetViews>
    <sheetView showGridLines="0" showWhiteSpace="0" zoomScaleNormal="100" workbookViewId="0">
      <selection activeCell="J4" sqref="J4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413" bestFit="1" customWidth="1"/>
    <col min="3" max="3" width="7.53515625" style="413" customWidth="1"/>
    <col min="4" max="4" width="9.69140625" style="413" customWidth="1"/>
    <col min="5" max="5" width="9.3046875" style="413" customWidth="1"/>
    <col min="6" max="6" width="9.69140625" style="413" customWidth="1"/>
    <col min="7" max="7" width="7.53515625" style="413" customWidth="1"/>
    <col min="8" max="9" width="9.69140625" style="413" customWidth="1"/>
    <col min="10" max="10" width="9.3046875" style="413" customWidth="1"/>
    <col min="11" max="11" width="6.4609375" style="413" customWidth="1"/>
    <col min="12" max="12" width="11.4609375" style="413"/>
    <col min="13" max="13" width="24.4609375" style="413" customWidth="1"/>
    <col min="14" max="17" width="11.4609375" style="413"/>
    <col min="18" max="18" width="11.4609375" style="413" customWidth="1"/>
    <col min="19" max="19" width="6.07421875" style="413" customWidth="1"/>
    <col min="20" max="16384" width="11.4609375" style="413"/>
  </cols>
  <sheetData>
    <row r="1" spans="1:21" x14ac:dyDescent="0.3">
      <c r="A1" s="107" t="s">
        <v>135</v>
      </c>
      <c r="B1" s="107"/>
    </row>
    <row r="2" spans="1:21" x14ac:dyDescent="0.3">
      <c r="A2" s="1" t="s">
        <v>0</v>
      </c>
    </row>
    <row r="3" spans="1:21" x14ac:dyDescent="0.3">
      <c r="A3" s="1"/>
      <c r="M3" s="413" t="s">
        <v>108</v>
      </c>
      <c r="O3" s="84"/>
      <c r="P3" s="84"/>
      <c r="Q3" s="84"/>
    </row>
    <row r="4" spans="1:21" x14ac:dyDescent="0.3">
      <c r="A4" s="1" t="str">
        <f>A8</f>
        <v>Tabell 3 -10 - A - Personer med utviklingshemming registrert i bydelen (som bydelen har øk. Ansv. for) pr. 31.12</v>
      </c>
    </row>
    <row r="5" spans="1:21" x14ac:dyDescent="0.3">
      <c r="A5" s="1"/>
    </row>
    <row r="6" spans="1:21" x14ac:dyDescent="0.3">
      <c r="A6" s="1"/>
    </row>
    <row r="7" spans="1:21" ht="12" thickBot="1" x14ac:dyDescent="0.35"/>
    <row r="8" spans="1:21" s="8" customFormat="1" ht="13.3" thickBot="1" x14ac:dyDescent="0.4">
      <c r="A8" s="1213" t="s">
        <v>351</v>
      </c>
      <c r="B8" s="1214"/>
      <c r="C8" s="1214"/>
      <c r="D8" s="1214"/>
      <c r="E8" s="1214"/>
      <c r="F8" s="1214"/>
      <c r="G8" s="1214"/>
      <c r="H8" s="1214"/>
      <c r="I8" s="1214"/>
      <c r="J8" s="1215"/>
      <c r="O8" s="413"/>
      <c r="P8" s="413"/>
      <c r="Q8" s="413"/>
      <c r="T8" s="890"/>
      <c r="U8" s="413"/>
    </row>
    <row r="9" spans="1:21" s="84" customFormat="1" ht="13.3" thickBot="1" x14ac:dyDescent="0.4">
      <c r="A9" s="1091"/>
      <c r="B9" s="1092"/>
      <c r="C9" s="1676" t="s">
        <v>227</v>
      </c>
      <c r="D9" s="1676"/>
      <c r="E9" s="1676"/>
      <c r="F9" s="1093"/>
      <c r="G9" s="1706" t="s">
        <v>228</v>
      </c>
      <c r="H9" s="1706"/>
      <c r="I9" s="1706"/>
      <c r="J9" s="1707"/>
      <c r="K9" s="40"/>
      <c r="M9" s="1408"/>
      <c r="N9" s="1409">
        <v>2019</v>
      </c>
      <c r="O9" s="1409">
        <v>2018</v>
      </c>
      <c r="P9" s="162"/>
      <c r="Q9" s="413"/>
      <c r="T9" s="890"/>
      <c r="U9" s="413"/>
    </row>
    <row r="10" spans="1:21" s="84" customFormat="1" ht="35.6" thickBot="1" x14ac:dyDescent="0.4">
      <c r="A10" s="67" t="s">
        <v>2</v>
      </c>
      <c r="B10" s="14" t="s">
        <v>3</v>
      </c>
      <c r="C10" s="13" t="s">
        <v>229</v>
      </c>
      <c r="D10" s="152" t="s">
        <v>230</v>
      </c>
      <c r="E10" s="152" t="s">
        <v>231</v>
      </c>
      <c r="F10" s="152" t="s">
        <v>11</v>
      </c>
      <c r="G10" s="13" t="s">
        <v>229</v>
      </c>
      <c r="H10" s="152" t="s">
        <v>230</v>
      </c>
      <c r="I10" s="152" t="s">
        <v>231</v>
      </c>
      <c r="J10" s="1090" t="s">
        <v>11</v>
      </c>
      <c r="M10" s="1410" t="s">
        <v>3</v>
      </c>
      <c r="N10" s="1411" t="s">
        <v>539</v>
      </c>
      <c r="O10" s="1411" t="s">
        <v>539</v>
      </c>
      <c r="P10" s="1412" t="s">
        <v>540</v>
      </c>
      <c r="Q10" s="413"/>
      <c r="T10" s="890"/>
      <c r="U10" s="413"/>
    </row>
    <row r="11" spans="1:21" ht="12.9" x14ac:dyDescent="0.35">
      <c r="A11" s="69">
        <v>1</v>
      </c>
      <c r="B11" s="18" t="s">
        <v>14</v>
      </c>
      <c r="C11" s="957">
        <v>43</v>
      </c>
      <c r="D11" s="958">
        <v>85</v>
      </c>
      <c r="E11" s="959">
        <v>17</v>
      </c>
      <c r="F11" s="874">
        <f>SUM(C11:E11)</f>
        <v>145</v>
      </c>
      <c r="G11" s="957">
        <v>41</v>
      </c>
      <c r="H11" s="958">
        <v>68</v>
      </c>
      <c r="I11" s="959">
        <v>16</v>
      </c>
      <c r="J11" s="877">
        <f>SUM(G11:I11)</f>
        <v>125</v>
      </c>
      <c r="K11" s="362"/>
      <c r="M11" s="1413" t="s">
        <v>14</v>
      </c>
      <c r="N11" s="1414">
        <f>H11+I11</f>
        <v>84</v>
      </c>
      <c r="O11" s="1415">
        <v>79</v>
      </c>
      <c r="P11" s="1416">
        <f>N11-O11</f>
        <v>5</v>
      </c>
      <c r="Q11" s="890"/>
      <c r="R11" s="890"/>
      <c r="S11" s="890"/>
      <c r="T11" s="890"/>
      <c r="U11" s="890"/>
    </row>
    <row r="12" spans="1:21" ht="12.9" x14ac:dyDescent="0.35">
      <c r="A12" s="70">
        <v>2</v>
      </c>
      <c r="B12" s="24" t="s">
        <v>15</v>
      </c>
      <c r="C12" s="59">
        <v>32</v>
      </c>
      <c r="D12" s="363">
        <v>76</v>
      </c>
      <c r="E12" s="806">
        <v>23</v>
      </c>
      <c r="F12" s="875">
        <f t="shared" ref="F12:F25" si="0">SUM(C12:E12)</f>
        <v>131</v>
      </c>
      <c r="G12" s="59">
        <v>20</v>
      </c>
      <c r="H12" s="363">
        <v>62</v>
      </c>
      <c r="I12" s="806">
        <v>22</v>
      </c>
      <c r="J12" s="878">
        <f t="shared" ref="J12:J25" si="1">SUM(G12:I12)</f>
        <v>104</v>
      </c>
      <c r="K12" s="362"/>
      <c r="L12" s="890"/>
      <c r="M12" s="1417" t="s">
        <v>15</v>
      </c>
      <c r="N12" s="1418">
        <f t="shared" ref="N12:N25" si="2">H12+I12</f>
        <v>84</v>
      </c>
      <c r="O12" s="1419">
        <v>85</v>
      </c>
      <c r="P12" s="1420">
        <f t="shared" ref="P12:P25" si="3">N12-O12</f>
        <v>-1</v>
      </c>
      <c r="Q12" s="890"/>
      <c r="R12" s="890"/>
      <c r="S12" s="890"/>
      <c r="T12" s="890"/>
      <c r="U12" s="890"/>
    </row>
    <row r="13" spans="1:21" ht="12.9" x14ac:dyDescent="0.35">
      <c r="A13" s="70">
        <v>3</v>
      </c>
      <c r="B13" s="24" t="s">
        <v>16</v>
      </c>
      <c r="C13" s="59">
        <v>32</v>
      </c>
      <c r="D13" s="363">
        <v>68</v>
      </c>
      <c r="E13" s="806">
        <v>33</v>
      </c>
      <c r="F13" s="875">
        <f t="shared" si="0"/>
        <v>133</v>
      </c>
      <c r="G13" s="59">
        <v>26</v>
      </c>
      <c r="H13" s="363">
        <v>53</v>
      </c>
      <c r="I13" s="806">
        <v>29</v>
      </c>
      <c r="J13" s="878">
        <f t="shared" si="1"/>
        <v>108</v>
      </c>
      <c r="K13" s="362"/>
      <c r="L13" s="890"/>
      <c r="M13" s="1417" t="s">
        <v>16</v>
      </c>
      <c r="N13" s="1418">
        <f t="shared" si="2"/>
        <v>82</v>
      </c>
      <c r="O13" s="1419">
        <v>78</v>
      </c>
      <c r="P13" s="1420">
        <f t="shared" si="3"/>
        <v>4</v>
      </c>
      <c r="Q13" s="890"/>
      <c r="R13" s="890"/>
      <c r="S13" s="890"/>
      <c r="T13" s="890"/>
      <c r="U13" s="890"/>
    </row>
    <row r="14" spans="1:21" ht="12.9" x14ac:dyDescent="0.35">
      <c r="A14" s="70">
        <v>4</v>
      </c>
      <c r="B14" s="24" t="s">
        <v>17</v>
      </c>
      <c r="C14" s="59">
        <v>13</v>
      </c>
      <c r="D14" s="363">
        <v>12</v>
      </c>
      <c r="E14" s="806">
        <v>5</v>
      </c>
      <c r="F14" s="875">
        <f t="shared" si="0"/>
        <v>30</v>
      </c>
      <c r="G14" s="59">
        <v>13</v>
      </c>
      <c r="H14" s="363">
        <v>12</v>
      </c>
      <c r="I14" s="806">
        <v>5</v>
      </c>
      <c r="J14" s="878">
        <f t="shared" si="1"/>
        <v>30</v>
      </c>
      <c r="K14" s="362"/>
      <c r="L14" s="890"/>
      <c r="M14" s="1417" t="s">
        <v>17</v>
      </c>
      <c r="N14" s="1418">
        <f t="shared" si="2"/>
        <v>17</v>
      </c>
      <c r="O14" s="1419">
        <v>18</v>
      </c>
      <c r="P14" s="1420">
        <f t="shared" si="3"/>
        <v>-1</v>
      </c>
      <c r="Q14" s="890"/>
      <c r="R14" s="890"/>
      <c r="S14" s="890"/>
      <c r="T14" s="890"/>
      <c r="U14" s="890"/>
    </row>
    <row r="15" spans="1:21" ht="12.9" x14ac:dyDescent="0.35">
      <c r="A15" s="70">
        <v>5</v>
      </c>
      <c r="B15" s="24" t="s">
        <v>18</v>
      </c>
      <c r="C15" s="59">
        <v>21</v>
      </c>
      <c r="D15" s="363">
        <v>41</v>
      </c>
      <c r="E15" s="806">
        <v>12</v>
      </c>
      <c r="F15" s="875">
        <f t="shared" si="0"/>
        <v>74</v>
      </c>
      <c r="G15" s="59">
        <v>21</v>
      </c>
      <c r="H15" s="363">
        <v>41</v>
      </c>
      <c r="I15" s="806">
        <v>12</v>
      </c>
      <c r="J15" s="878">
        <f t="shared" si="1"/>
        <v>74</v>
      </c>
      <c r="K15" s="362"/>
      <c r="L15" s="890"/>
      <c r="M15" s="1417" t="s">
        <v>18</v>
      </c>
      <c r="N15" s="1418">
        <f t="shared" si="2"/>
        <v>53</v>
      </c>
      <c r="O15" s="1419">
        <v>60</v>
      </c>
      <c r="P15" s="1420">
        <f t="shared" si="3"/>
        <v>-7</v>
      </c>
      <c r="Q15" s="890"/>
      <c r="R15" s="890"/>
      <c r="S15" s="890"/>
      <c r="T15" s="890"/>
      <c r="U15" s="890"/>
    </row>
    <row r="16" spans="1:21" ht="12.9" x14ac:dyDescent="0.35">
      <c r="A16" s="71">
        <v>6</v>
      </c>
      <c r="B16" s="26" t="s">
        <v>19</v>
      </c>
      <c r="C16" s="59">
        <v>25</v>
      </c>
      <c r="D16" s="363">
        <v>65</v>
      </c>
      <c r="E16" s="806">
        <v>15</v>
      </c>
      <c r="F16" s="875">
        <f t="shared" si="0"/>
        <v>105</v>
      </c>
      <c r="G16" s="59">
        <v>19</v>
      </c>
      <c r="H16" s="363">
        <v>60</v>
      </c>
      <c r="I16" s="806">
        <v>15</v>
      </c>
      <c r="J16" s="878">
        <f t="shared" si="1"/>
        <v>94</v>
      </c>
      <c r="K16" s="362"/>
      <c r="L16" s="890"/>
      <c r="M16" s="1417" t="s">
        <v>607</v>
      </c>
      <c r="N16" s="1418">
        <f t="shared" si="2"/>
        <v>75</v>
      </c>
      <c r="O16" s="1419">
        <v>86</v>
      </c>
      <c r="P16" s="1420">
        <f t="shared" si="3"/>
        <v>-11</v>
      </c>
      <c r="Q16" s="890"/>
      <c r="R16" s="890"/>
      <c r="S16" s="890"/>
      <c r="T16" s="890"/>
      <c r="U16" s="890"/>
    </row>
    <row r="17" spans="1:21" ht="12.9" x14ac:dyDescent="0.35">
      <c r="A17" s="71">
        <v>7</v>
      </c>
      <c r="B17" s="26" t="s">
        <v>20</v>
      </c>
      <c r="C17" s="59">
        <v>38</v>
      </c>
      <c r="D17" s="363">
        <v>105</v>
      </c>
      <c r="E17" s="806">
        <v>45</v>
      </c>
      <c r="F17" s="875">
        <f t="shared" si="0"/>
        <v>188</v>
      </c>
      <c r="G17" s="59">
        <v>31</v>
      </c>
      <c r="H17" s="363">
        <v>98</v>
      </c>
      <c r="I17" s="806">
        <v>45</v>
      </c>
      <c r="J17" s="878">
        <f t="shared" si="1"/>
        <v>174</v>
      </c>
      <c r="K17" s="362"/>
      <c r="L17" s="890"/>
      <c r="M17" s="1417" t="s">
        <v>20</v>
      </c>
      <c r="N17" s="1418">
        <f t="shared" si="2"/>
        <v>143</v>
      </c>
      <c r="O17" s="1419">
        <v>142</v>
      </c>
      <c r="P17" s="1420">
        <f t="shared" si="3"/>
        <v>1</v>
      </c>
      <c r="Q17" s="890"/>
      <c r="R17" s="890"/>
      <c r="S17" s="890"/>
      <c r="T17" s="890"/>
      <c r="U17" s="890"/>
    </row>
    <row r="18" spans="1:21" ht="12.9" x14ac:dyDescent="0.35">
      <c r="A18" s="70">
        <v>8</v>
      </c>
      <c r="B18" s="24" t="s">
        <v>21</v>
      </c>
      <c r="C18" s="59">
        <v>29</v>
      </c>
      <c r="D18" s="363">
        <v>100</v>
      </c>
      <c r="E18" s="806">
        <v>25</v>
      </c>
      <c r="F18" s="875">
        <f t="shared" si="0"/>
        <v>154</v>
      </c>
      <c r="G18" s="59">
        <v>25</v>
      </c>
      <c r="H18" s="363">
        <v>95</v>
      </c>
      <c r="I18" s="806">
        <v>24</v>
      </c>
      <c r="J18" s="878">
        <f t="shared" si="1"/>
        <v>144</v>
      </c>
      <c r="K18" s="362"/>
      <c r="L18" s="890"/>
      <c r="M18" s="1417" t="s">
        <v>21</v>
      </c>
      <c r="N18" s="1418">
        <f t="shared" si="2"/>
        <v>119</v>
      </c>
      <c r="O18" s="1419">
        <v>124</v>
      </c>
      <c r="P18" s="1420">
        <f t="shared" si="3"/>
        <v>-5</v>
      </c>
      <c r="Q18" s="890"/>
      <c r="R18" s="890"/>
      <c r="S18" s="890"/>
      <c r="T18" s="890"/>
      <c r="U18" s="890"/>
    </row>
    <row r="19" spans="1:21" ht="12.9" x14ac:dyDescent="0.35">
      <c r="A19" s="70">
        <v>9</v>
      </c>
      <c r="B19" s="24" t="s">
        <v>22</v>
      </c>
      <c r="C19" s="59">
        <v>35</v>
      </c>
      <c r="D19" s="363">
        <v>93</v>
      </c>
      <c r="E19" s="806">
        <v>32</v>
      </c>
      <c r="F19" s="875">
        <f t="shared" si="0"/>
        <v>160</v>
      </c>
      <c r="G19" s="59">
        <v>32</v>
      </c>
      <c r="H19" s="363">
        <v>77</v>
      </c>
      <c r="I19" s="806">
        <v>32</v>
      </c>
      <c r="J19" s="878">
        <f t="shared" si="1"/>
        <v>141</v>
      </c>
      <c r="K19" s="362"/>
      <c r="L19" s="890"/>
      <c r="M19" s="1417" t="s">
        <v>22</v>
      </c>
      <c r="N19" s="1418">
        <f t="shared" si="2"/>
        <v>109</v>
      </c>
      <c r="O19" s="1419">
        <v>109</v>
      </c>
      <c r="P19" s="1420">
        <f t="shared" si="3"/>
        <v>0</v>
      </c>
      <c r="Q19" s="890"/>
      <c r="R19" s="890"/>
      <c r="S19" s="890"/>
      <c r="T19" s="890"/>
      <c r="U19" s="890"/>
    </row>
    <row r="20" spans="1:21" ht="12.9" x14ac:dyDescent="0.35">
      <c r="A20" s="70">
        <v>10</v>
      </c>
      <c r="B20" s="24" t="s">
        <v>23</v>
      </c>
      <c r="C20" s="59">
        <v>44</v>
      </c>
      <c r="D20" s="363">
        <v>115</v>
      </c>
      <c r="E20" s="806">
        <v>33</v>
      </c>
      <c r="F20" s="875">
        <f t="shared" si="0"/>
        <v>192</v>
      </c>
      <c r="G20" s="59">
        <v>41</v>
      </c>
      <c r="H20" s="363">
        <v>96</v>
      </c>
      <c r="I20" s="806">
        <v>30</v>
      </c>
      <c r="J20" s="878">
        <f t="shared" si="1"/>
        <v>167</v>
      </c>
      <c r="K20" s="362"/>
      <c r="L20" s="890"/>
      <c r="M20" s="1417" t="s">
        <v>23</v>
      </c>
      <c r="N20" s="1418">
        <f t="shared" si="2"/>
        <v>126</v>
      </c>
      <c r="O20" s="1419">
        <v>128</v>
      </c>
      <c r="P20" s="1420">
        <f t="shared" si="3"/>
        <v>-2</v>
      </c>
      <c r="Q20" s="890"/>
      <c r="R20" s="890"/>
      <c r="S20" s="890"/>
      <c r="T20" s="890"/>
      <c r="U20" s="890"/>
    </row>
    <row r="21" spans="1:21" ht="12.9" x14ac:dyDescent="0.35">
      <c r="A21" s="71">
        <v>11</v>
      </c>
      <c r="B21" s="26" t="s">
        <v>24</v>
      </c>
      <c r="C21" s="59">
        <v>44</v>
      </c>
      <c r="D21" s="363">
        <v>157</v>
      </c>
      <c r="E21" s="806">
        <v>22</v>
      </c>
      <c r="F21" s="875">
        <f t="shared" si="0"/>
        <v>223</v>
      </c>
      <c r="G21" s="59">
        <v>26</v>
      </c>
      <c r="H21" s="363">
        <v>136</v>
      </c>
      <c r="I21" s="806">
        <v>22</v>
      </c>
      <c r="J21" s="878">
        <f t="shared" si="1"/>
        <v>184</v>
      </c>
      <c r="K21" s="362"/>
      <c r="L21" s="890"/>
      <c r="M21" s="1417" t="s">
        <v>24</v>
      </c>
      <c r="N21" s="1418">
        <f t="shared" si="2"/>
        <v>158</v>
      </c>
      <c r="O21" s="1419">
        <v>145</v>
      </c>
      <c r="P21" s="1420">
        <f t="shared" si="3"/>
        <v>13</v>
      </c>
      <c r="Q21" s="890"/>
      <c r="R21" s="890"/>
      <c r="S21" s="890"/>
      <c r="T21" s="890"/>
      <c r="U21" s="890"/>
    </row>
    <row r="22" spans="1:21" ht="12.9" x14ac:dyDescent="0.35">
      <c r="A22" s="70">
        <v>12</v>
      </c>
      <c r="B22" s="24" t="s">
        <v>25</v>
      </c>
      <c r="C22" s="59">
        <v>71</v>
      </c>
      <c r="D22" s="363">
        <v>157</v>
      </c>
      <c r="E22" s="806">
        <v>40</v>
      </c>
      <c r="F22" s="875">
        <f t="shared" si="0"/>
        <v>268</v>
      </c>
      <c r="G22" s="59">
        <v>62</v>
      </c>
      <c r="H22" s="363">
        <v>138</v>
      </c>
      <c r="I22" s="806">
        <v>39</v>
      </c>
      <c r="J22" s="878">
        <f t="shared" si="1"/>
        <v>239</v>
      </c>
      <c r="K22" s="362"/>
      <c r="L22" s="890"/>
      <c r="M22" s="1417" t="s">
        <v>25</v>
      </c>
      <c r="N22" s="1418">
        <f t="shared" si="2"/>
        <v>177</v>
      </c>
      <c r="O22" s="1419">
        <v>181</v>
      </c>
      <c r="P22" s="1420">
        <f t="shared" si="3"/>
        <v>-4</v>
      </c>
      <c r="Q22" s="890"/>
      <c r="R22" s="890"/>
      <c r="S22" s="890"/>
      <c r="T22" s="890"/>
      <c r="U22" s="890"/>
    </row>
    <row r="23" spans="1:21" ht="12.9" x14ac:dyDescent="0.35">
      <c r="A23" s="70">
        <v>13</v>
      </c>
      <c r="B23" s="24" t="s">
        <v>26</v>
      </c>
      <c r="C23" s="59">
        <v>43</v>
      </c>
      <c r="D23" s="363">
        <v>106</v>
      </c>
      <c r="E23" s="806">
        <v>42</v>
      </c>
      <c r="F23" s="875">
        <f t="shared" si="0"/>
        <v>191</v>
      </c>
      <c r="G23" s="59">
        <v>31</v>
      </c>
      <c r="H23" s="363">
        <v>87</v>
      </c>
      <c r="I23" s="806">
        <v>37</v>
      </c>
      <c r="J23" s="878">
        <f t="shared" si="1"/>
        <v>155</v>
      </c>
      <c r="K23" s="362"/>
      <c r="L23" s="890"/>
      <c r="M23" s="1417" t="s">
        <v>26</v>
      </c>
      <c r="N23" s="1418">
        <f t="shared" si="2"/>
        <v>124</v>
      </c>
      <c r="O23" s="1419">
        <v>129</v>
      </c>
      <c r="P23" s="1420">
        <f t="shared" si="3"/>
        <v>-5</v>
      </c>
      <c r="Q23" s="890"/>
      <c r="R23" s="890"/>
      <c r="S23" s="890"/>
      <c r="T23" s="890"/>
      <c r="U23" s="890"/>
    </row>
    <row r="24" spans="1:21" ht="12.9" x14ac:dyDescent="0.35">
      <c r="A24" s="70">
        <v>14</v>
      </c>
      <c r="B24" s="24" t="s">
        <v>27</v>
      </c>
      <c r="C24" s="59">
        <v>29</v>
      </c>
      <c r="D24" s="363">
        <v>104</v>
      </c>
      <c r="E24" s="806">
        <v>51</v>
      </c>
      <c r="F24" s="875">
        <f t="shared" si="0"/>
        <v>184</v>
      </c>
      <c r="G24" s="59">
        <v>24</v>
      </c>
      <c r="H24" s="363">
        <v>104</v>
      </c>
      <c r="I24" s="806">
        <v>51</v>
      </c>
      <c r="J24" s="878">
        <f t="shared" si="1"/>
        <v>179</v>
      </c>
      <c r="K24" s="362"/>
      <c r="L24" s="890"/>
      <c r="M24" s="1417" t="s">
        <v>27</v>
      </c>
      <c r="N24" s="1418">
        <f t="shared" si="2"/>
        <v>155</v>
      </c>
      <c r="O24" s="1419">
        <v>139</v>
      </c>
      <c r="P24" s="1420">
        <f t="shared" si="3"/>
        <v>16</v>
      </c>
      <c r="Q24" s="890"/>
      <c r="R24" s="890"/>
      <c r="S24" s="890"/>
      <c r="T24" s="890"/>
      <c r="U24" s="890"/>
    </row>
    <row r="25" spans="1:21" ht="13.3" thickBot="1" x14ac:dyDescent="0.4">
      <c r="A25" s="76">
        <v>15</v>
      </c>
      <c r="B25" s="28" t="s">
        <v>28</v>
      </c>
      <c r="C25" s="1030">
        <v>52</v>
      </c>
      <c r="D25" s="1031">
        <v>174</v>
      </c>
      <c r="E25" s="1032">
        <v>29</v>
      </c>
      <c r="F25" s="876">
        <f t="shared" si="0"/>
        <v>255</v>
      </c>
      <c r="G25" s="1030">
        <v>49</v>
      </c>
      <c r="H25" s="1031">
        <v>145</v>
      </c>
      <c r="I25" s="1032">
        <v>27</v>
      </c>
      <c r="J25" s="879">
        <f t="shared" si="1"/>
        <v>221</v>
      </c>
      <c r="K25" s="362"/>
      <c r="L25" s="890"/>
      <c r="M25" s="1421" t="s">
        <v>28</v>
      </c>
      <c r="N25" s="1422">
        <f t="shared" si="2"/>
        <v>172</v>
      </c>
      <c r="O25" s="1423">
        <v>154</v>
      </c>
      <c r="P25" s="1424">
        <f t="shared" si="3"/>
        <v>18</v>
      </c>
      <c r="Q25" s="890"/>
      <c r="R25" s="890"/>
      <c r="S25" s="890"/>
      <c r="T25" s="890"/>
      <c r="U25" s="890"/>
    </row>
    <row r="26" spans="1:21" s="346" customFormat="1" ht="13.3" thickBot="1" x14ac:dyDescent="0.4">
      <c r="A26" s="1132"/>
      <c r="B26" s="1216" t="s">
        <v>541</v>
      </c>
      <c r="C26" s="1217">
        <f>SUM(C11:C25)</f>
        <v>551</v>
      </c>
      <c r="D26" s="1218">
        <f t="shared" ref="D26:J26" si="4">SUM(D11:D25)</f>
        <v>1458</v>
      </c>
      <c r="E26" s="1218">
        <f t="shared" si="4"/>
        <v>424</v>
      </c>
      <c r="F26" s="1219">
        <f t="shared" si="4"/>
        <v>2433</v>
      </c>
      <c r="G26" s="1217">
        <f t="shared" si="4"/>
        <v>461</v>
      </c>
      <c r="H26" s="1218">
        <f t="shared" si="4"/>
        <v>1272</v>
      </c>
      <c r="I26" s="1218">
        <f t="shared" si="4"/>
        <v>406</v>
      </c>
      <c r="J26" s="1219">
        <f t="shared" si="4"/>
        <v>2139</v>
      </c>
      <c r="K26" s="44"/>
      <c r="L26" s="1220"/>
      <c r="M26" s="1425" t="s">
        <v>212</v>
      </c>
      <c r="N26" s="1426">
        <f>SUM(N11:N25)</f>
        <v>1678</v>
      </c>
      <c r="O26" s="1426">
        <f>SUM(O11:O25)</f>
        <v>1657</v>
      </c>
      <c r="P26" s="1427">
        <f>SUM(P11:P25)</f>
        <v>21</v>
      </c>
      <c r="Q26" s="890"/>
      <c r="R26" s="1220"/>
      <c r="S26" s="1220"/>
      <c r="T26" s="890"/>
      <c r="U26" s="1149"/>
    </row>
    <row r="27" spans="1:21" s="346" customFormat="1" ht="12.9" x14ac:dyDescent="0.35">
      <c r="A27" s="1428"/>
      <c r="B27" s="1429" t="s">
        <v>463</v>
      </c>
      <c r="C27" s="1430">
        <v>544</v>
      </c>
      <c r="D27" s="1431">
        <v>1416</v>
      </c>
      <c r="E27" s="1431">
        <v>418</v>
      </c>
      <c r="F27" s="1432">
        <v>2378</v>
      </c>
      <c r="G27" s="1430">
        <v>454</v>
      </c>
      <c r="H27" s="1431">
        <v>1253</v>
      </c>
      <c r="I27" s="1431">
        <v>404</v>
      </c>
      <c r="J27" s="1432">
        <v>2111</v>
      </c>
      <c r="K27" s="44"/>
      <c r="L27" s="1220"/>
      <c r="M27" s="1220"/>
      <c r="N27" s="1220"/>
      <c r="O27" s="1220"/>
      <c r="P27" s="1220"/>
      <c r="Q27" s="1220"/>
      <c r="R27" s="1220"/>
      <c r="S27" s="1220"/>
      <c r="T27" s="890"/>
      <c r="U27" s="1149"/>
    </row>
    <row r="28" spans="1:21" ht="12.9" x14ac:dyDescent="0.35">
      <c r="A28" s="416"/>
      <c r="B28" s="175" t="s">
        <v>415</v>
      </c>
      <c r="C28" s="59">
        <v>576</v>
      </c>
      <c r="D28" s="363">
        <v>1444</v>
      </c>
      <c r="E28" s="363">
        <v>410</v>
      </c>
      <c r="F28" s="806">
        <v>2430</v>
      </c>
      <c r="G28" s="59">
        <v>458</v>
      </c>
      <c r="H28" s="363">
        <v>1301</v>
      </c>
      <c r="I28" s="363">
        <v>396</v>
      </c>
      <c r="J28" s="806">
        <v>2155</v>
      </c>
      <c r="K28" s="362"/>
      <c r="N28" s="890"/>
      <c r="O28" s="890"/>
      <c r="P28" s="1433"/>
      <c r="Q28" s="890"/>
      <c r="R28" s="890"/>
      <c r="S28" s="890"/>
      <c r="T28" s="890"/>
      <c r="U28" s="1149"/>
    </row>
    <row r="29" spans="1:21" s="346" customFormat="1" ht="12.9" x14ac:dyDescent="0.35">
      <c r="A29" s="805"/>
      <c r="B29" s="175" t="s">
        <v>367</v>
      </c>
      <c r="C29" s="59">
        <v>570</v>
      </c>
      <c r="D29" s="363">
        <v>1404</v>
      </c>
      <c r="E29" s="363">
        <v>411</v>
      </c>
      <c r="F29" s="806">
        <v>2385</v>
      </c>
      <c r="G29" s="59">
        <v>460</v>
      </c>
      <c r="H29" s="363">
        <v>1270</v>
      </c>
      <c r="I29" s="363">
        <v>392</v>
      </c>
      <c r="J29" s="806">
        <v>2122</v>
      </c>
      <c r="K29" s="44"/>
      <c r="L29" s="413"/>
      <c r="M29" s="413"/>
      <c r="T29" s="890"/>
      <c r="U29" s="413"/>
    </row>
    <row r="30" spans="1:21" s="346" customFormat="1" ht="12.9" x14ac:dyDescent="0.35">
      <c r="A30" s="805"/>
      <c r="B30" s="175" t="s">
        <v>334</v>
      </c>
      <c r="C30" s="59">
        <v>626</v>
      </c>
      <c r="D30" s="363">
        <v>1388</v>
      </c>
      <c r="E30" s="363">
        <v>385</v>
      </c>
      <c r="F30" s="806">
        <v>2399</v>
      </c>
      <c r="G30" s="59">
        <v>480</v>
      </c>
      <c r="H30" s="363">
        <v>1237</v>
      </c>
      <c r="I30" s="363">
        <v>375</v>
      </c>
      <c r="J30" s="806">
        <v>2092</v>
      </c>
      <c r="K30" s="44"/>
      <c r="L30" s="413"/>
      <c r="M30" s="413" t="s">
        <v>315</v>
      </c>
      <c r="T30" s="890"/>
      <c r="U30" s="413"/>
    </row>
    <row r="31" spans="1:21" s="346" customFormat="1" ht="12.9" x14ac:dyDescent="0.35">
      <c r="A31" s="805"/>
      <c r="B31" s="175" t="s">
        <v>300</v>
      </c>
      <c r="C31" s="59">
        <v>637</v>
      </c>
      <c r="D31" s="363">
        <v>1299</v>
      </c>
      <c r="E31" s="363">
        <v>366</v>
      </c>
      <c r="F31" s="806">
        <v>2302</v>
      </c>
      <c r="G31" s="59">
        <v>523</v>
      </c>
      <c r="H31" s="363">
        <v>1163</v>
      </c>
      <c r="I31" s="363">
        <v>357</v>
      </c>
      <c r="J31" s="806">
        <v>2043</v>
      </c>
      <c r="K31" s="44"/>
      <c r="L31" s="413"/>
      <c r="M31" s="413"/>
      <c r="T31" s="890"/>
    </row>
    <row r="32" spans="1:21" s="346" customFormat="1" ht="13.3" thickBot="1" x14ac:dyDescent="0.4">
      <c r="A32" s="807"/>
      <c r="B32" s="176" t="s">
        <v>155</v>
      </c>
      <c r="C32" s="540">
        <v>629</v>
      </c>
      <c r="D32" s="364">
        <v>1249</v>
      </c>
      <c r="E32" s="364">
        <v>339</v>
      </c>
      <c r="F32" s="808">
        <v>2217</v>
      </c>
      <c r="G32" s="540">
        <v>529</v>
      </c>
      <c r="H32" s="364">
        <v>1131</v>
      </c>
      <c r="I32" s="364">
        <v>335</v>
      </c>
      <c r="J32" s="808">
        <v>1995</v>
      </c>
      <c r="K32" s="44"/>
      <c r="L32" s="413"/>
      <c r="M32" s="413"/>
      <c r="T32" s="890"/>
    </row>
    <row r="33" spans="1:20" ht="12.9" x14ac:dyDescent="0.35">
      <c r="A33" s="1"/>
      <c r="T33" s="890"/>
    </row>
  </sheetData>
  <mergeCells count="2">
    <mergeCell ref="C9:E9"/>
    <mergeCell ref="G9:J9"/>
  </mergeCells>
  <pageMargins left="0.7" right="0.7" top="0.75" bottom="0.75" header="0.3" footer="0.3"/>
  <pageSetup paperSize="9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0">
    <tabColor rgb="FFFF0000"/>
  </sheetPr>
  <dimension ref="A1:O36"/>
  <sheetViews>
    <sheetView showGridLines="0" topLeftCell="B1" zoomScaleNormal="100" workbookViewId="0">
      <selection activeCell="J6" sqref="J6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12.53515625" style="2" customWidth="1"/>
    <col min="4" max="4" width="14.84375" style="2" customWidth="1"/>
    <col min="5" max="6" width="17" style="2" customWidth="1"/>
    <col min="7" max="7" width="13.4609375" style="2" customWidth="1"/>
    <col min="8" max="8" width="19.3046875" style="2" customWidth="1"/>
    <col min="9" max="9" width="13.53515625" style="2" customWidth="1"/>
    <col min="10" max="10" width="6.4609375" style="2" customWidth="1"/>
    <col min="11" max="11" width="7.07421875" style="2" customWidth="1"/>
    <col min="12" max="12" width="11.4609375" style="2" customWidth="1"/>
    <col min="13" max="16384" width="11.4609375" style="2"/>
  </cols>
  <sheetData>
    <row r="1" spans="1:15" x14ac:dyDescent="0.3">
      <c r="A1" s="107" t="s">
        <v>135</v>
      </c>
      <c r="B1" s="108"/>
    </row>
    <row r="2" spans="1:15" x14ac:dyDescent="0.3">
      <c r="A2" s="1" t="s">
        <v>0</v>
      </c>
    </row>
    <row r="3" spans="1:15" x14ac:dyDescent="0.3">
      <c r="A3" s="1"/>
    </row>
    <row r="4" spans="1:15" x14ac:dyDescent="0.3">
      <c r="A4" s="1" t="str">
        <f>A8</f>
        <v>Tabell 3 -11 - A -  Boforhold for utviklingshemmede pr. 31.12.</v>
      </c>
    </row>
    <row r="5" spans="1:15" x14ac:dyDescent="0.3">
      <c r="A5" s="1"/>
    </row>
    <row r="6" spans="1:15" x14ac:dyDescent="0.3">
      <c r="A6" s="1"/>
    </row>
    <row r="7" spans="1:15" x14ac:dyDescent="0.3">
      <c r="E7" s="118"/>
    </row>
    <row r="8" spans="1:15" s="8" customFormat="1" ht="12.9" thickBot="1" x14ac:dyDescent="0.35">
      <c r="A8" s="7" t="s">
        <v>232</v>
      </c>
    </row>
    <row r="9" spans="1:15" s="84" customFormat="1" ht="12" thickBot="1" x14ac:dyDescent="0.35">
      <c r="A9" s="9"/>
      <c r="B9" s="10"/>
      <c r="C9" s="1708" t="s">
        <v>233</v>
      </c>
      <c r="D9" s="1708"/>
      <c r="E9" s="1708"/>
      <c r="F9" s="1708"/>
      <c r="G9" s="1708"/>
      <c r="H9" s="1708"/>
      <c r="I9" s="1708"/>
      <c r="J9" s="40"/>
    </row>
    <row r="10" spans="1:15" s="84" customFormat="1" ht="46.75" thickBot="1" x14ac:dyDescent="0.35">
      <c r="A10" s="13" t="s">
        <v>2</v>
      </c>
      <c r="B10" s="14" t="s">
        <v>3</v>
      </c>
      <c r="C10" s="13" t="s">
        <v>234</v>
      </c>
      <c r="D10" s="36" t="s">
        <v>235</v>
      </c>
      <c r="E10" s="152" t="s">
        <v>236</v>
      </c>
      <c r="F10" s="152" t="s">
        <v>237</v>
      </c>
      <c r="G10" s="84" t="s">
        <v>238</v>
      </c>
      <c r="H10" s="41" t="s">
        <v>239</v>
      </c>
      <c r="I10" s="41" t="s">
        <v>240</v>
      </c>
      <c r="L10" s="84" t="s">
        <v>11</v>
      </c>
      <c r="O10" s="84" t="s">
        <v>476</v>
      </c>
    </row>
    <row r="11" spans="1:15" ht="12.9" x14ac:dyDescent="0.35">
      <c r="A11" s="17">
        <v>1</v>
      </c>
      <c r="B11" s="18" t="s">
        <v>14</v>
      </c>
      <c r="C11" s="119">
        <v>15</v>
      </c>
      <c r="D11" s="1415">
        <v>39</v>
      </c>
      <c r="E11" s="1415">
        <v>45</v>
      </c>
      <c r="F11" s="1415">
        <v>29</v>
      </c>
      <c r="G11" s="1287">
        <v>7</v>
      </c>
      <c r="H11" s="880">
        <f t="shared" ref="H11:H25" si="0">E11+F11</f>
        <v>74</v>
      </c>
      <c r="I11" s="881">
        <f t="shared" ref="I11:I25" si="1">C11+D11+H11+G11</f>
        <v>135</v>
      </c>
      <c r="J11" s="22"/>
      <c r="K11" s="22"/>
      <c r="L11" s="2">
        <v>136</v>
      </c>
      <c r="M11" s="1149">
        <f t="shared" ref="M11:M26" si="2">L11-I11</f>
        <v>1</v>
      </c>
    </row>
    <row r="12" spans="1:15" ht="12.9" x14ac:dyDescent="0.35">
      <c r="A12" s="23">
        <v>2</v>
      </c>
      <c r="B12" s="24" t="s">
        <v>15</v>
      </c>
      <c r="C12" s="120">
        <v>36</v>
      </c>
      <c r="D12" s="1419">
        <v>34</v>
      </c>
      <c r="E12" s="1419">
        <v>34</v>
      </c>
      <c r="F12" s="1419">
        <v>24</v>
      </c>
      <c r="G12" s="1288">
        <v>4</v>
      </c>
      <c r="H12" s="882">
        <f t="shared" si="0"/>
        <v>58</v>
      </c>
      <c r="I12" s="883">
        <f t="shared" si="1"/>
        <v>132</v>
      </c>
      <c r="J12" s="22"/>
      <c r="K12" s="22"/>
      <c r="L12" s="2">
        <v>125</v>
      </c>
      <c r="M12" s="1149">
        <f t="shared" si="2"/>
        <v>-7</v>
      </c>
    </row>
    <row r="13" spans="1:15" ht="12.9" x14ac:dyDescent="0.35">
      <c r="A13" s="23">
        <v>3</v>
      </c>
      <c r="B13" s="24" t="s">
        <v>16</v>
      </c>
      <c r="C13" s="120">
        <v>26</v>
      </c>
      <c r="D13" s="1419">
        <v>51</v>
      </c>
      <c r="E13" s="1419">
        <v>31</v>
      </c>
      <c r="F13" s="1419">
        <v>20</v>
      </c>
      <c r="G13" s="1288">
        <v>5</v>
      </c>
      <c r="H13" s="882">
        <f t="shared" si="0"/>
        <v>51</v>
      </c>
      <c r="I13" s="883">
        <f t="shared" si="1"/>
        <v>133</v>
      </c>
      <c r="J13" s="22"/>
      <c r="K13" s="22"/>
      <c r="L13" s="2">
        <v>123</v>
      </c>
      <c r="M13" s="1149">
        <f t="shared" si="2"/>
        <v>-10</v>
      </c>
    </row>
    <row r="14" spans="1:15" ht="12.9" x14ac:dyDescent="0.35">
      <c r="A14" s="23">
        <v>4</v>
      </c>
      <c r="B14" s="24" t="s">
        <v>17</v>
      </c>
      <c r="C14" s="120">
        <v>12</v>
      </c>
      <c r="D14" s="1419">
        <v>6</v>
      </c>
      <c r="E14" s="1419">
        <v>15</v>
      </c>
      <c r="F14" s="1419">
        <v>0</v>
      </c>
      <c r="G14" s="1288">
        <v>0</v>
      </c>
      <c r="H14" s="882">
        <f t="shared" si="0"/>
        <v>15</v>
      </c>
      <c r="I14" s="883">
        <f t="shared" si="1"/>
        <v>33</v>
      </c>
      <c r="J14" s="22"/>
      <c r="K14" s="22"/>
      <c r="L14" s="2">
        <v>29</v>
      </c>
      <c r="M14" s="1149">
        <f t="shared" si="2"/>
        <v>-4</v>
      </c>
    </row>
    <row r="15" spans="1:15" ht="12.9" x14ac:dyDescent="0.35">
      <c r="A15" s="23">
        <v>5</v>
      </c>
      <c r="B15" s="24" t="s">
        <v>18</v>
      </c>
      <c r="C15" s="120">
        <v>9</v>
      </c>
      <c r="D15" s="1419">
        <v>39</v>
      </c>
      <c r="E15" s="1419">
        <v>19</v>
      </c>
      <c r="F15" s="1419">
        <v>9</v>
      </c>
      <c r="G15" s="1288">
        <v>1</v>
      </c>
      <c r="H15" s="882">
        <f t="shared" si="0"/>
        <v>28</v>
      </c>
      <c r="I15" s="883">
        <f t="shared" si="1"/>
        <v>77</v>
      </c>
      <c r="J15" s="22"/>
      <c r="K15" s="22"/>
      <c r="L15" s="2">
        <v>90</v>
      </c>
      <c r="M15" s="1149">
        <f t="shared" si="2"/>
        <v>13</v>
      </c>
    </row>
    <row r="16" spans="1:15" ht="12.9" x14ac:dyDescent="0.35">
      <c r="A16" s="25">
        <v>6</v>
      </c>
      <c r="B16" s="26" t="s">
        <v>19</v>
      </c>
      <c r="C16" s="120">
        <v>7</v>
      </c>
      <c r="D16" s="1419">
        <v>44</v>
      </c>
      <c r="E16" s="1419">
        <v>27</v>
      </c>
      <c r="F16" s="1419">
        <v>26</v>
      </c>
      <c r="G16" s="1288">
        <v>3</v>
      </c>
      <c r="H16" s="882">
        <f t="shared" si="0"/>
        <v>53</v>
      </c>
      <c r="I16" s="883">
        <f t="shared" si="1"/>
        <v>107</v>
      </c>
      <c r="J16" s="445"/>
      <c r="K16" s="22"/>
      <c r="L16" s="2">
        <v>118</v>
      </c>
      <c r="M16" s="1149">
        <f t="shared" si="2"/>
        <v>11</v>
      </c>
    </row>
    <row r="17" spans="1:13" ht="12.9" x14ac:dyDescent="0.35">
      <c r="A17" s="25">
        <v>7</v>
      </c>
      <c r="B17" s="26" t="s">
        <v>20</v>
      </c>
      <c r="C17" s="120">
        <v>6</v>
      </c>
      <c r="D17" s="1419">
        <v>90</v>
      </c>
      <c r="E17" s="1419">
        <v>41</v>
      </c>
      <c r="F17" s="1419">
        <v>40</v>
      </c>
      <c r="G17" s="1288">
        <v>4</v>
      </c>
      <c r="H17" s="882">
        <f t="shared" si="0"/>
        <v>81</v>
      </c>
      <c r="I17" s="883">
        <f t="shared" si="1"/>
        <v>181</v>
      </c>
      <c r="J17" s="22"/>
      <c r="K17" s="22"/>
      <c r="L17" s="2">
        <v>180</v>
      </c>
      <c r="M17" s="1149">
        <f t="shared" si="2"/>
        <v>-1</v>
      </c>
    </row>
    <row r="18" spans="1:13" ht="12.9" x14ac:dyDescent="0.35">
      <c r="A18" s="23">
        <v>8</v>
      </c>
      <c r="B18" s="24" t="s">
        <v>21</v>
      </c>
      <c r="C18" s="120">
        <v>12</v>
      </c>
      <c r="D18" s="1419">
        <v>84</v>
      </c>
      <c r="E18" s="1419">
        <v>35</v>
      </c>
      <c r="F18" s="1419">
        <v>20</v>
      </c>
      <c r="G18" s="1288">
        <v>3</v>
      </c>
      <c r="H18" s="882">
        <f t="shared" si="0"/>
        <v>55</v>
      </c>
      <c r="I18" s="883">
        <f t="shared" si="1"/>
        <v>154</v>
      </c>
      <c r="J18" s="22"/>
      <c r="K18" s="22"/>
      <c r="L18" s="2">
        <v>154</v>
      </c>
      <c r="M18" s="1149">
        <f t="shared" si="2"/>
        <v>0</v>
      </c>
    </row>
    <row r="19" spans="1:13" s="413" customFormat="1" ht="12.9" x14ac:dyDescent="0.35">
      <c r="A19" s="98">
        <v>9</v>
      </c>
      <c r="B19" s="26" t="s">
        <v>22</v>
      </c>
      <c r="C19" s="120">
        <v>13</v>
      </c>
      <c r="D19" s="1419">
        <v>61</v>
      </c>
      <c r="E19" s="1419">
        <v>38</v>
      </c>
      <c r="F19" s="1419">
        <v>20</v>
      </c>
      <c r="G19" s="1288">
        <v>7</v>
      </c>
      <c r="H19" s="1221">
        <f t="shared" si="0"/>
        <v>58</v>
      </c>
      <c r="I19" s="889">
        <f t="shared" si="1"/>
        <v>139</v>
      </c>
      <c r="J19" s="362"/>
      <c r="K19" s="362"/>
      <c r="L19" s="413">
        <v>157</v>
      </c>
      <c r="M19" s="1149">
        <f t="shared" si="2"/>
        <v>18</v>
      </c>
    </row>
    <row r="20" spans="1:13" ht="12.9" x14ac:dyDescent="0.35">
      <c r="A20" s="23">
        <v>10</v>
      </c>
      <c r="B20" s="24" t="s">
        <v>23</v>
      </c>
      <c r="C20" s="120">
        <v>29</v>
      </c>
      <c r="D20" s="1419">
        <v>65</v>
      </c>
      <c r="E20" s="1419">
        <v>54</v>
      </c>
      <c r="F20" s="1419">
        <v>38</v>
      </c>
      <c r="G20" s="1288">
        <v>6</v>
      </c>
      <c r="H20" s="882">
        <f t="shared" si="0"/>
        <v>92</v>
      </c>
      <c r="I20" s="883">
        <f t="shared" si="1"/>
        <v>192</v>
      </c>
      <c r="J20" s="22"/>
      <c r="K20" s="22"/>
      <c r="L20" s="2">
        <v>194</v>
      </c>
      <c r="M20" s="1149">
        <f t="shared" si="2"/>
        <v>2</v>
      </c>
    </row>
    <row r="21" spans="1:13" ht="12.9" x14ac:dyDescent="0.35">
      <c r="A21" s="25">
        <v>11</v>
      </c>
      <c r="B21" s="26" t="s">
        <v>24</v>
      </c>
      <c r="C21" s="120">
        <v>12</v>
      </c>
      <c r="D21" s="1419">
        <v>67</v>
      </c>
      <c r="E21" s="1419">
        <v>55</v>
      </c>
      <c r="F21" s="1419">
        <v>81</v>
      </c>
      <c r="G21" s="1288">
        <v>8</v>
      </c>
      <c r="H21" s="882">
        <f t="shared" si="0"/>
        <v>136</v>
      </c>
      <c r="I21" s="883">
        <f t="shared" si="1"/>
        <v>223</v>
      </c>
      <c r="J21" s="22"/>
      <c r="K21" s="22"/>
      <c r="L21" s="2">
        <v>210</v>
      </c>
      <c r="M21" s="1149">
        <f t="shared" si="2"/>
        <v>-13</v>
      </c>
    </row>
    <row r="22" spans="1:13" ht="12.9" x14ac:dyDescent="0.35">
      <c r="A22" s="23">
        <v>12</v>
      </c>
      <c r="B22" s="24" t="s">
        <v>25</v>
      </c>
      <c r="C22" s="120">
        <v>24</v>
      </c>
      <c r="D22" s="1419">
        <v>86</v>
      </c>
      <c r="E22" s="1419">
        <v>76</v>
      </c>
      <c r="F22" s="1419">
        <v>81</v>
      </c>
      <c r="G22" s="1288">
        <v>3</v>
      </c>
      <c r="H22" s="882">
        <f t="shared" si="0"/>
        <v>157</v>
      </c>
      <c r="I22" s="883">
        <f t="shared" si="1"/>
        <v>270</v>
      </c>
      <c r="J22" s="22"/>
      <c r="K22" s="22"/>
      <c r="L22" s="2">
        <v>286</v>
      </c>
      <c r="M22" s="1149">
        <f t="shared" si="2"/>
        <v>16</v>
      </c>
    </row>
    <row r="23" spans="1:13" s="413" customFormat="1" ht="12.9" x14ac:dyDescent="0.35">
      <c r="A23" s="23">
        <v>13</v>
      </c>
      <c r="B23" s="24" t="s">
        <v>26</v>
      </c>
      <c r="C23" s="120">
        <v>20</v>
      </c>
      <c r="D23" s="1419">
        <v>69</v>
      </c>
      <c r="E23" s="1419">
        <v>53</v>
      </c>
      <c r="F23" s="1419">
        <v>44</v>
      </c>
      <c r="G23" s="1288">
        <v>5</v>
      </c>
      <c r="H23" s="882">
        <f t="shared" si="0"/>
        <v>97</v>
      </c>
      <c r="I23" s="883">
        <f t="shared" si="1"/>
        <v>191</v>
      </c>
      <c r="J23" s="362"/>
      <c r="K23" s="362"/>
      <c r="L23" s="413">
        <v>182</v>
      </c>
      <c r="M23" s="1149">
        <f t="shared" si="2"/>
        <v>-9</v>
      </c>
    </row>
    <row r="24" spans="1:13" ht="12.9" x14ac:dyDescent="0.35">
      <c r="A24" s="23">
        <v>14</v>
      </c>
      <c r="B24" s="24" t="s">
        <v>27</v>
      </c>
      <c r="C24" s="120">
        <v>14</v>
      </c>
      <c r="D24" s="1419">
        <v>96</v>
      </c>
      <c r="E24" s="1419">
        <v>42</v>
      </c>
      <c r="F24" s="1419">
        <v>25</v>
      </c>
      <c r="G24" s="1288">
        <v>7</v>
      </c>
      <c r="H24" s="882">
        <f t="shared" si="0"/>
        <v>67</v>
      </c>
      <c r="I24" s="883">
        <f t="shared" si="1"/>
        <v>184</v>
      </c>
      <c r="J24" s="22"/>
      <c r="K24" s="22"/>
      <c r="L24" s="2">
        <v>181</v>
      </c>
      <c r="M24" s="1149">
        <f t="shared" si="2"/>
        <v>-3</v>
      </c>
    </row>
    <row r="25" spans="1:13" ht="13.3" thickBot="1" x14ac:dyDescent="0.4">
      <c r="A25" s="27">
        <v>15</v>
      </c>
      <c r="B25" s="28" t="s">
        <v>28</v>
      </c>
      <c r="C25" s="121">
        <v>33</v>
      </c>
      <c r="D25" s="1423">
        <v>64</v>
      </c>
      <c r="E25" s="1423">
        <v>69</v>
      </c>
      <c r="F25" s="1423">
        <v>86</v>
      </c>
      <c r="G25" s="1289">
        <v>3</v>
      </c>
      <c r="H25" s="884">
        <f t="shared" si="0"/>
        <v>155</v>
      </c>
      <c r="I25" s="885">
        <f t="shared" si="1"/>
        <v>255</v>
      </c>
      <c r="J25" s="22"/>
      <c r="K25" s="22"/>
      <c r="L25" s="2">
        <v>246</v>
      </c>
      <c r="M25" s="1149">
        <f t="shared" si="2"/>
        <v>-9</v>
      </c>
    </row>
    <row r="26" spans="1:13" s="30" customFormat="1" x14ac:dyDescent="0.3">
      <c r="A26" s="62"/>
      <c r="B26" s="63" t="s">
        <v>541</v>
      </c>
      <c r="C26" s="824">
        <f t="shared" ref="C26:I26" si="3">SUM(C11:C25)</f>
        <v>268</v>
      </c>
      <c r="D26" s="825">
        <f t="shared" si="3"/>
        <v>895</v>
      </c>
      <c r="E26" s="825">
        <f t="shared" si="3"/>
        <v>634</v>
      </c>
      <c r="F26" s="825">
        <f t="shared" si="3"/>
        <v>543</v>
      </c>
      <c r="G26" s="826">
        <f t="shared" si="3"/>
        <v>66</v>
      </c>
      <c r="H26" s="886">
        <f t="shared" si="3"/>
        <v>1177</v>
      </c>
      <c r="I26" s="887">
        <f t="shared" si="3"/>
        <v>2406</v>
      </c>
      <c r="J26" s="44"/>
      <c r="K26" s="44"/>
      <c r="L26" s="30">
        <v>2411</v>
      </c>
      <c r="M26" s="1149">
        <f t="shared" si="2"/>
        <v>5</v>
      </c>
    </row>
    <row r="27" spans="1:13" s="413" customFormat="1" x14ac:dyDescent="0.3">
      <c r="A27" s="98"/>
      <c r="B27" s="55" t="s">
        <v>463</v>
      </c>
      <c r="C27" s="19">
        <v>271</v>
      </c>
      <c r="D27" s="20">
        <v>847</v>
      </c>
      <c r="E27" s="20">
        <v>627</v>
      </c>
      <c r="F27" s="20">
        <v>580</v>
      </c>
      <c r="G27" s="21">
        <v>76</v>
      </c>
      <c r="H27" s="888">
        <v>1207</v>
      </c>
      <c r="I27" s="889">
        <v>2401</v>
      </c>
      <c r="J27" s="362"/>
      <c r="K27" s="362"/>
      <c r="L27" s="413">
        <v>2411</v>
      </c>
      <c r="M27" s="1149">
        <v>10</v>
      </c>
    </row>
    <row r="28" spans="1:13" s="413" customFormat="1" x14ac:dyDescent="0.3">
      <c r="A28" s="98"/>
      <c r="B28" s="55" t="s">
        <v>415</v>
      </c>
      <c r="C28" s="19">
        <v>271</v>
      </c>
      <c r="D28" s="20">
        <v>841</v>
      </c>
      <c r="E28" s="20">
        <v>689</v>
      </c>
      <c r="F28" s="20">
        <v>544</v>
      </c>
      <c r="G28" s="21">
        <v>69</v>
      </c>
      <c r="H28" s="888">
        <v>1233</v>
      </c>
      <c r="I28" s="889">
        <v>2414</v>
      </c>
      <c r="J28" s="362"/>
      <c r="K28" s="362"/>
      <c r="M28" s="534"/>
    </row>
    <row r="29" spans="1:13" s="413" customFormat="1" x14ac:dyDescent="0.3">
      <c r="A29" s="98"/>
      <c r="B29" s="55" t="s">
        <v>367</v>
      </c>
      <c r="C29" s="19">
        <v>312</v>
      </c>
      <c r="D29" s="20">
        <v>776</v>
      </c>
      <c r="E29" s="20">
        <v>639</v>
      </c>
      <c r="F29" s="20">
        <v>576</v>
      </c>
      <c r="G29" s="21">
        <v>82</v>
      </c>
      <c r="H29" s="888">
        <v>1215</v>
      </c>
      <c r="I29" s="889">
        <v>2385</v>
      </c>
      <c r="J29" s="362"/>
      <c r="K29" s="362"/>
      <c r="M29" s="534"/>
    </row>
    <row r="30" spans="1:13" s="346" customFormat="1" x14ac:dyDescent="0.3">
      <c r="A30" s="64"/>
      <c r="B30" s="55" t="s">
        <v>334</v>
      </c>
      <c r="C30" s="19">
        <v>263</v>
      </c>
      <c r="D30" s="20">
        <v>739</v>
      </c>
      <c r="E30" s="20">
        <v>781</v>
      </c>
      <c r="F30" s="20">
        <v>502</v>
      </c>
      <c r="G30" s="21">
        <v>114</v>
      </c>
      <c r="H30" s="888">
        <v>1283</v>
      </c>
      <c r="I30" s="889">
        <v>2399</v>
      </c>
      <c r="J30" s="44"/>
      <c r="K30" s="44"/>
      <c r="L30" s="413"/>
      <c r="M30" s="84"/>
    </row>
    <row r="31" spans="1:13" s="413" customFormat="1" x14ac:dyDescent="0.3">
      <c r="A31" s="98"/>
      <c r="B31" s="55" t="s">
        <v>300</v>
      </c>
      <c r="C31" s="19">
        <v>239</v>
      </c>
      <c r="D31" s="20">
        <v>733</v>
      </c>
      <c r="E31" s="20">
        <v>744</v>
      </c>
      <c r="F31" s="20">
        <v>495</v>
      </c>
      <c r="G31" s="21">
        <v>91</v>
      </c>
      <c r="H31" s="888">
        <v>1239</v>
      </c>
      <c r="I31" s="889">
        <v>2302</v>
      </c>
      <c r="J31" s="362"/>
      <c r="K31" s="362"/>
      <c r="M31" s="534"/>
    </row>
    <row r="32" spans="1:13" s="346" customFormat="1" ht="12" thickBot="1" x14ac:dyDescent="0.35">
      <c r="A32" s="74"/>
      <c r="B32" s="782" t="s">
        <v>155</v>
      </c>
      <c r="C32" s="94">
        <v>222</v>
      </c>
      <c r="D32" s="95">
        <v>687</v>
      </c>
      <c r="E32" s="95">
        <v>755</v>
      </c>
      <c r="F32" s="95">
        <v>441</v>
      </c>
      <c r="G32" s="99">
        <v>122</v>
      </c>
      <c r="H32" s="183">
        <v>1196</v>
      </c>
      <c r="I32" s="184">
        <v>2227</v>
      </c>
      <c r="J32" s="44"/>
      <c r="K32" s="44"/>
      <c r="L32" s="413"/>
      <c r="M32" s="84"/>
    </row>
    <row r="36" spans="3:7" ht="12.9" x14ac:dyDescent="0.35">
      <c r="C36" s="890"/>
      <c r="D36" s="890"/>
      <c r="E36" s="890"/>
      <c r="F36" s="890"/>
      <c r="G36" s="890"/>
    </row>
  </sheetData>
  <mergeCells count="1">
    <mergeCell ref="C9:I9"/>
  </mergeCells>
  <pageMargins left="0.7" right="0.7" top="0.75" bottom="0.75" header="0.3" footer="0.3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X140"/>
  <sheetViews>
    <sheetView showGridLines="0" zoomScaleNormal="100" zoomScaleSheetLayoutView="100" workbookViewId="0">
      <selection activeCell="K5" sqref="K5"/>
    </sheetView>
  </sheetViews>
  <sheetFormatPr baseColWidth="10" defaultColWidth="11.4609375" defaultRowHeight="11.6" x14ac:dyDescent="0.3"/>
  <cols>
    <col min="1" max="1" width="6.4609375" style="5" bestFit="1" customWidth="1"/>
    <col min="2" max="2" width="22" style="2" bestFit="1" customWidth="1"/>
    <col min="3" max="3" width="9.69140625" style="2" customWidth="1"/>
    <col min="4" max="5" width="9.84375" style="2" bestFit="1" customWidth="1"/>
    <col min="6" max="6" width="9.84375" style="2" customWidth="1"/>
    <col min="7" max="7" width="8.84375" style="2" customWidth="1"/>
    <col min="8" max="8" width="10.53515625" style="2" bestFit="1" customWidth="1"/>
    <col min="9" max="9" width="9.84375" style="2" customWidth="1"/>
    <col min="10" max="16384" width="11.4609375" style="2"/>
  </cols>
  <sheetData>
    <row r="1" spans="1:18" x14ac:dyDescent="0.3">
      <c r="A1" s="1" t="s">
        <v>0</v>
      </c>
    </row>
    <row r="2" spans="1:18" x14ac:dyDescent="0.3">
      <c r="A2" s="1"/>
    </row>
    <row r="3" spans="1:18" x14ac:dyDescent="0.3">
      <c r="A3" s="3" t="str">
        <f>A10</f>
        <v>Tabell 3 -1 - B - A1 - Beboere i institusjon som bydelen betaler for - pr. 31.12.  - Aldersfordeling</v>
      </c>
      <c r="B3" s="4"/>
      <c r="C3" s="4"/>
      <c r="D3" s="4"/>
      <c r="E3" s="4"/>
      <c r="F3" s="4"/>
    </row>
    <row r="4" spans="1:18" x14ac:dyDescent="0.3">
      <c r="A4" s="1" t="str">
        <f>A37</f>
        <v>Tabell 3 -1 - B - A4 - Aldersfordeling for beboere i langtidsopphold i institusjon pr. 31.12</v>
      </c>
    </row>
    <row r="5" spans="1:18" x14ac:dyDescent="0.3">
      <c r="A5" s="1" t="str">
        <f>A64</f>
        <v xml:space="preserve">Tabell 3 -1 - B - A8 - Aldersfordeling for beboere med vedtak om korttidsopphold pr. 31.12.  </v>
      </c>
    </row>
    <row r="6" spans="1:18" x14ac:dyDescent="0.3">
      <c r="A6" s="1" t="str">
        <f>A90</f>
        <v xml:space="preserve">Tabell 3 -1 - B - A9 - Aldersfordeling for beboere i barne- og avlastningsboliger pr. 31.12.  </v>
      </c>
    </row>
    <row r="7" spans="1:18" x14ac:dyDescent="0.3">
      <c r="A7" s="1278" t="str">
        <f>A116</f>
        <v xml:space="preserve">Tabell 3 -1 - B - A6 - Aldersfordeling for beboere i boform m/heldøgns pleie og omsorg pr. 31.12.  </v>
      </c>
      <c r="H7" s="6"/>
      <c r="I7" s="6"/>
    </row>
    <row r="8" spans="1:18" x14ac:dyDescent="0.3">
      <c r="A8" s="1"/>
    </row>
    <row r="9" spans="1:18" ht="29.4" customHeight="1" x14ac:dyDescent="0.3">
      <c r="R9" s="2" t="s">
        <v>108</v>
      </c>
    </row>
    <row r="10" spans="1:18" s="8" customFormat="1" ht="12.9" thickBot="1" x14ac:dyDescent="0.35">
      <c r="A10" s="7" t="s">
        <v>547</v>
      </c>
    </row>
    <row r="11" spans="1:18" s="11" customFormat="1" ht="12" thickBot="1" x14ac:dyDescent="0.35">
      <c r="A11" s="65"/>
      <c r="B11" s="66"/>
      <c r="C11" s="1629" t="s">
        <v>1</v>
      </c>
      <c r="D11" s="1629"/>
      <c r="E11" s="1629"/>
      <c r="F11" s="1629"/>
      <c r="G11" s="1629"/>
      <c r="H11" s="1629"/>
      <c r="I11" s="1630"/>
    </row>
    <row r="12" spans="1:18" s="11" customFormat="1" ht="12" thickBot="1" x14ac:dyDescent="0.35">
      <c r="A12" s="67" t="s">
        <v>2</v>
      </c>
      <c r="B12" s="14" t="s">
        <v>3</v>
      </c>
      <c r="C12" s="1229" t="s">
        <v>4</v>
      </c>
      <c r="D12" s="1230" t="s">
        <v>5</v>
      </c>
      <c r="E12" s="1230" t="s">
        <v>6</v>
      </c>
      <c r="F12" s="1230" t="s">
        <v>12</v>
      </c>
      <c r="G12" s="1230" t="s">
        <v>478</v>
      </c>
      <c r="H12" s="1231" t="s">
        <v>453</v>
      </c>
      <c r="I12" s="608" t="s">
        <v>11</v>
      </c>
    </row>
    <row r="13" spans="1:18" x14ac:dyDescent="0.3">
      <c r="A13" s="69">
        <v>1</v>
      </c>
      <c r="B13" s="18" t="s">
        <v>14</v>
      </c>
      <c r="C13" s="1234">
        <f t="shared" ref="C13:H27" si="0">C40+C67+C93+C119</f>
        <v>20</v>
      </c>
      <c r="D13" s="1235">
        <f t="shared" si="0"/>
        <v>22</v>
      </c>
      <c r="E13" s="1235">
        <f t="shared" si="0"/>
        <v>24</v>
      </c>
      <c r="F13" s="1235">
        <f t="shared" si="0"/>
        <v>51</v>
      </c>
      <c r="G13" s="1235">
        <f t="shared" si="0"/>
        <v>60</v>
      </c>
      <c r="H13" s="1236">
        <f t="shared" si="0"/>
        <v>57</v>
      </c>
      <c r="I13" s="724">
        <f t="shared" ref="I13:I27" si="1">SUM(C13:H13)</f>
        <v>234</v>
      </c>
    </row>
    <row r="14" spans="1:18" x14ac:dyDescent="0.3">
      <c r="A14" s="70">
        <v>2</v>
      </c>
      <c r="B14" s="24" t="s">
        <v>15</v>
      </c>
      <c r="C14" s="1237">
        <f t="shared" si="0"/>
        <v>11</v>
      </c>
      <c r="D14" s="1233">
        <f t="shared" si="0"/>
        <v>18</v>
      </c>
      <c r="E14" s="1233">
        <f t="shared" si="0"/>
        <v>18</v>
      </c>
      <c r="F14" s="1233">
        <f t="shared" si="0"/>
        <v>65</v>
      </c>
      <c r="G14" s="1233">
        <f t="shared" si="0"/>
        <v>46</v>
      </c>
      <c r="H14" s="1238">
        <f t="shared" si="0"/>
        <v>58</v>
      </c>
      <c r="I14" s="725">
        <f t="shared" si="1"/>
        <v>216</v>
      </c>
    </row>
    <row r="15" spans="1:18" x14ac:dyDescent="0.3">
      <c r="A15" s="70">
        <v>3</v>
      </c>
      <c r="B15" s="24" t="s">
        <v>16</v>
      </c>
      <c r="C15" s="1237">
        <f t="shared" si="0"/>
        <v>8</v>
      </c>
      <c r="D15" s="1233">
        <f t="shared" si="0"/>
        <v>9</v>
      </c>
      <c r="E15" s="1233">
        <f t="shared" si="0"/>
        <v>26</v>
      </c>
      <c r="F15" s="1233">
        <f t="shared" si="0"/>
        <v>50</v>
      </c>
      <c r="G15" s="1233">
        <f t="shared" si="0"/>
        <v>59</v>
      </c>
      <c r="H15" s="1238">
        <f t="shared" si="0"/>
        <v>60</v>
      </c>
      <c r="I15" s="725">
        <f t="shared" si="1"/>
        <v>212</v>
      </c>
    </row>
    <row r="16" spans="1:18" x14ac:dyDescent="0.3">
      <c r="A16" s="70">
        <v>4</v>
      </c>
      <c r="B16" s="24" t="s">
        <v>17</v>
      </c>
      <c r="C16" s="1237">
        <f t="shared" si="0"/>
        <v>0</v>
      </c>
      <c r="D16" s="1233">
        <f t="shared" si="0"/>
        <v>13</v>
      </c>
      <c r="E16" s="1233">
        <f t="shared" si="0"/>
        <v>16</v>
      </c>
      <c r="F16" s="1233">
        <f t="shared" si="0"/>
        <v>27</v>
      </c>
      <c r="G16" s="1233">
        <f t="shared" si="0"/>
        <v>31</v>
      </c>
      <c r="H16" s="1238">
        <f t="shared" si="0"/>
        <v>42</v>
      </c>
      <c r="I16" s="725">
        <f t="shared" si="1"/>
        <v>129</v>
      </c>
    </row>
    <row r="17" spans="1:17" x14ac:dyDescent="0.3">
      <c r="A17" s="70">
        <v>5</v>
      </c>
      <c r="B17" s="24" t="s">
        <v>18</v>
      </c>
      <c r="C17" s="1237">
        <f t="shared" si="0"/>
        <v>4</v>
      </c>
      <c r="D17" s="1233">
        <f t="shared" si="0"/>
        <v>15</v>
      </c>
      <c r="E17" s="1233">
        <f t="shared" si="0"/>
        <v>31</v>
      </c>
      <c r="F17" s="1233">
        <f t="shared" si="0"/>
        <v>91</v>
      </c>
      <c r="G17" s="1233">
        <f t="shared" si="0"/>
        <v>160</v>
      </c>
      <c r="H17" s="1238">
        <f t="shared" si="0"/>
        <v>143</v>
      </c>
      <c r="I17" s="725">
        <f t="shared" si="1"/>
        <v>444</v>
      </c>
    </row>
    <row r="18" spans="1:17" x14ac:dyDescent="0.3">
      <c r="A18" s="71">
        <v>6</v>
      </c>
      <c r="B18" s="26" t="s">
        <v>19</v>
      </c>
      <c r="C18" s="1237">
        <f t="shared" si="0"/>
        <v>8</v>
      </c>
      <c r="D18" s="1233">
        <f t="shared" si="0"/>
        <v>8</v>
      </c>
      <c r="E18" s="1233">
        <f t="shared" si="0"/>
        <v>14</v>
      </c>
      <c r="F18" s="1233">
        <f t="shared" si="0"/>
        <v>59</v>
      </c>
      <c r="G18" s="1233">
        <f t="shared" si="0"/>
        <v>113</v>
      </c>
      <c r="H18" s="1238">
        <f t="shared" si="0"/>
        <v>103</v>
      </c>
      <c r="I18" s="725">
        <f t="shared" si="1"/>
        <v>305</v>
      </c>
    </row>
    <row r="19" spans="1:17" x14ac:dyDescent="0.3">
      <c r="A19" s="71">
        <v>7</v>
      </c>
      <c r="B19" s="26" t="s">
        <v>20</v>
      </c>
      <c r="C19" s="1237">
        <f t="shared" si="0"/>
        <v>14</v>
      </c>
      <c r="D19" s="1233">
        <f t="shared" si="0"/>
        <v>10</v>
      </c>
      <c r="E19" s="1233">
        <f t="shared" si="0"/>
        <v>23</v>
      </c>
      <c r="F19" s="1233">
        <f t="shared" si="0"/>
        <v>69</v>
      </c>
      <c r="G19" s="1233">
        <f t="shared" si="0"/>
        <v>113</v>
      </c>
      <c r="H19" s="1238">
        <f t="shared" si="0"/>
        <v>137</v>
      </c>
      <c r="I19" s="725">
        <f t="shared" si="1"/>
        <v>366</v>
      </c>
    </row>
    <row r="20" spans="1:17" x14ac:dyDescent="0.3">
      <c r="A20" s="70">
        <v>8</v>
      </c>
      <c r="B20" s="24" t="s">
        <v>21</v>
      </c>
      <c r="C20" s="1237">
        <f t="shared" si="0"/>
        <v>18</v>
      </c>
      <c r="D20" s="1233">
        <f t="shared" si="0"/>
        <v>2</v>
      </c>
      <c r="E20" s="1233">
        <f t="shared" si="0"/>
        <v>16</v>
      </c>
      <c r="F20" s="1233">
        <f t="shared" si="0"/>
        <v>64</v>
      </c>
      <c r="G20" s="1233">
        <f t="shared" si="0"/>
        <v>124</v>
      </c>
      <c r="H20" s="1238">
        <f t="shared" si="0"/>
        <v>131</v>
      </c>
      <c r="I20" s="725">
        <f t="shared" si="1"/>
        <v>355</v>
      </c>
    </row>
    <row r="21" spans="1:17" x14ac:dyDescent="0.3">
      <c r="A21" s="70">
        <v>9</v>
      </c>
      <c r="B21" s="24" t="s">
        <v>22</v>
      </c>
      <c r="C21" s="1237">
        <f t="shared" si="0"/>
        <v>8</v>
      </c>
      <c r="D21" s="1233">
        <f t="shared" si="0"/>
        <v>6</v>
      </c>
      <c r="E21" s="1233">
        <f t="shared" si="0"/>
        <v>9</v>
      </c>
      <c r="F21" s="1233">
        <f t="shared" si="0"/>
        <v>37</v>
      </c>
      <c r="G21" s="1233">
        <f t="shared" si="0"/>
        <v>77</v>
      </c>
      <c r="H21" s="1238">
        <f t="shared" si="0"/>
        <v>63</v>
      </c>
      <c r="I21" s="725">
        <f t="shared" si="1"/>
        <v>200</v>
      </c>
    </row>
    <row r="22" spans="1:17" x14ac:dyDescent="0.3">
      <c r="A22" s="70">
        <v>10</v>
      </c>
      <c r="B22" s="24" t="s">
        <v>23</v>
      </c>
      <c r="C22" s="1237">
        <f t="shared" si="0"/>
        <v>7</v>
      </c>
      <c r="D22" s="1233">
        <f t="shared" si="0"/>
        <v>1</v>
      </c>
      <c r="E22" s="1233">
        <f t="shared" si="0"/>
        <v>18</v>
      </c>
      <c r="F22" s="1233">
        <f t="shared" si="0"/>
        <v>54</v>
      </c>
      <c r="G22" s="1233">
        <f t="shared" si="0"/>
        <v>64</v>
      </c>
      <c r="H22" s="1238">
        <f t="shared" si="0"/>
        <v>56</v>
      </c>
      <c r="I22" s="725">
        <f t="shared" si="1"/>
        <v>200</v>
      </c>
    </row>
    <row r="23" spans="1:17" x14ac:dyDescent="0.3">
      <c r="A23" s="71">
        <v>11</v>
      </c>
      <c r="B23" s="26" t="s">
        <v>24</v>
      </c>
      <c r="C23" s="1237">
        <f t="shared" si="0"/>
        <v>18</v>
      </c>
      <c r="D23" s="1233">
        <f t="shared" si="0"/>
        <v>8</v>
      </c>
      <c r="E23" s="1233">
        <f t="shared" si="0"/>
        <v>12</v>
      </c>
      <c r="F23" s="1233">
        <f t="shared" si="0"/>
        <v>58</v>
      </c>
      <c r="G23" s="1233">
        <f t="shared" si="0"/>
        <v>87</v>
      </c>
      <c r="H23" s="1238">
        <f t="shared" si="0"/>
        <v>50</v>
      </c>
      <c r="I23" s="725">
        <f t="shared" si="1"/>
        <v>233</v>
      </c>
    </row>
    <row r="24" spans="1:17" x14ac:dyDescent="0.3">
      <c r="A24" s="70">
        <v>12</v>
      </c>
      <c r="B24" s="24" t="s">
        <v>25</v>
      </c>
      <c r="C24" s="1237">
        <f t="shared" si="0"/>
        <v>23</v>
      </c>
      <c r="D24" s="1233">
        <f t="shared" si="0"/>
        <v>17</v>
      </c>
      <c r="E24" s="1233">
        <f t="shared" si="0"/>
        <v>38</v>
      </c>
      <c r="F24" s="1233">
        <f t="shared" si="0"/>
        <v>88</v>
      </c>
      <c r="G24" s="1233">
        <f t="shared" si="0"/>
        <v>126</v>
      </c>
      <c r="H24" s="1238">
        <f t="shared" si="0"/>
        <v>103</v>
      </c>
      <c r="I24" s="725">
        <f t="shared" si="1"/>
        <v>395</v>
      </c>
      <c r="Q24" s="2" t="s">
        <v>108</v>
      </c>
    </row>
    <row r="25" spans="1:17" x14ac:dyDescent="0.3">
      <c r="A25" s="70">
        <v>13</v>
      </c>
      <c r="B25" s="24" t="s">
        <v>26</v>
      </c>
      <c r="C25" s="1237">
        <f t="shared" si="0"/>
        <v>11</v>
      </c>
      <c r="D25" s="1233">
        <f t="shared" si="0"/>
        <v>6</v>
      </c>
      <c r="E25" s="1233">
        <f t="shared" si="0"/>
        <v>14</v>
      </c>
      <c r="F25" s="1233">
        <f t="shared" si="0"/>
        <v>75</v>
      </c>
      <c r="G25" s="1233">
        <f t="shared" si="0"/>
        <v>213</v>
      </c>
      <c r="H25" s="1238">
        <f t="shared" si="0"/>
        <v>198</v>
      </c>
      <c r="I25" s="725">
        <f t="shared" si="1"/>
        <v>517</v>
      </c>
    </row>
    <row r="26" spans="1:17" x14ac:dyDescent="0.3">
      <c r="A26" s="70">
        <v>14</v>
      </c>
      <c r="B26" s="24" t="s">
        <v>27</v>
      </c>
      <c r="C26" s="1237">
        <f t="shared" si="0"/>
        <v>12</v>
      </c>
      <c r="D26" s="1233">
        <f t="shared" si="0"/>
        <v>9</v>
      </c>
      <c r="E26" s="1233">
        <f t="shared" si="0"/>
        <v>23</v>
      </c>
      <c r="F26" s="1233">
        <f t="shared" si="0"/>
        <v>85</v>
      </c>
      <c r="G26" s="1233">
        <f t="shared" si="0"/>
        <v>185</v>
      </c>
      <c r="H26" s="1238">
        <f t="shared" si="0"/>
        <v>211</v>
      </c>
      <c r="I26" s="725">
        <f t="shared" si="1"/>
        <v>525</v>
      </c>
    </row>
    <row r="27" spans="1:17" ht="12" thickBot="1" x14ac:dyDescent="0.35">
      <c r="A27" s="76">
        <v>15</v>
      </c>
      <c r="B27" s="28" t="s">
        <v>28</v>
      </c>
      <c r="C27" s="1239">
        <f t="shared" si="0"/>
        <v>20</v>
      </c>
      <c r="D27" s="1240">
        <f t="shared" si="0"/>
        <v>16</v>
      </c>
      <c r="E27" s="1240">
        <f t="shared" si="0"/>
        <v>22</v>
      </c>
      <c r="F27" s="1240">
        <f t="shared" si="0"/>
        <v>34</v>
      </c>
      <c r="G27" s="1240">
        <f t="shared" si="0"/>
        <v>42</v>
      </c>
      <c r="H27" s="1241">
        <f t="shared" si="0"/>
        <v>37</v>
      </c>
      <c r="I27" s="726">
        <f t="shared" si="1"/>
        <v>171</v>
      </c>
      <c r="L27" s="2" t="s">
        <v>108</v>
      </c>
    </row>
    <row r="28" spans="1:17" s="30" customFormat="1" x14ac:dyDescent="0.3">
      <c r="A28" s="406" t="s">
        <v>479</v>
      </c>
      <c r="B28" s="655" t="s">
        <v>543</v>
      </c>
      <c r="C28" s="1127">
        <f t="shared" ref="C28:I28" si="2">SUM(C13:C27)</f>
        <v>182</v>
      </c>
      <c r="D28" s="829">
        <f t="shared" si="2"/>
        <v>160</v>
      </c>
      <c r="E28" s="829">
        <f t="shared" si="2"/>
        <v>304</v>
      </c>
      <c r="F28" s="829">
        <f t="shared" si="2"/>
        <v>907</v>
      </c>
      <c r="G28" s="829">
        <f t="shared" si="2"/>
        <v>1500</v>
      </c>
      <c r="H28" s="1232">
        <f t="shared" si="2"/>
        <v>1449</v>
      </c>
      <c r="I28" s="656">
        <f t="shared" si="2"/>
        <v>4502</v>
      </c>
      <c r="J28" s="346"/>
    </row>
    <row r="29" spans="1:17" s="413" customFormat="1" x14ac:dyDescent="0.3">
      <c r="A29" s="1242" t="s">
        <v>479</v>
      </c>
      <c r="B29" s="1429" t="s">
        <v>483</v>
      </c>
      <c r="C29" s="1434">
        <v>176</v>
      </c>
      <c r="D29" s="1435">
        <v>157</v>
      </c>
      <c r="E29" s="1435">
        <v>302</v>
      </c>
      <c r="F29" s="1435">
        <v>864</v>
      </c>
      <c r="G29" s="1435">
        <v>1526</v>
      </c>
      <c r="H29" s="1436">
        <v>1466</v>
      </c>
      <c r="I29" s="1437">
        <v>4491</v>
      </c>
    </row>
    <row r="30" spans="1:17" s="413" customFormat="1" x14ac:dyDescent="0.3">
      <c r="A30" s="539"/>
      <c r="B30" s="732" t="s">
        <v>454</v>
      </c>
      <c r="C30" s="733">
        <v>183</v>
      </c>
      <c r="D30" s="734">
        <v>130</v>
      </c>
      <c r="E30" s="734">
        <v>290</v>
      </c>
      <c r="F30" s="734">
        <v>867</v>
      </c>
      <c r="G30" s="734">
        <v>1551</v>
      </c>
      <c r="H30" s="735">
        <v>1504</v>
      </c>
      <c r="I30" s="736">
        <v>4525</v>
      </c>
    </row>
    <row r="31" spans="1:17" s="413" customFormat="1" x14ac:dyDescent="0.3">
      <c r="A31" s="539"/>
      <c r="B31" s="732" t="s">
        <v>448</v>
      </c>
      <c r="C31" s="733">
        <v>162</v>
      </c>
      <c r="D31" s="734">
        <v>140</v>
      </c>
      <c r="E31" s="734">
        <v>298</v>
      </c>
      <c r="F31" s="734">
        <v>876</v>
      </c>
      <c r="G31" s="734">
        <v>1589</v>
      </c>
      <c r="H31" s="735">
        <v>1502</v>
      </c>
      <c r="I31" s="736">
        <v>4567</v>
      </c>
    </row>
    <row r="32" spans="1:17" s="413" customFormat="1" x14ac:dyDescent="0.3">
      <c r="A32" s="539"/>
      <c r="B32" s="732" t="s">
        <v>414</v>
      </c>
      <c r="C32" s="733">
        <v>149</v>
      </c>
      <c r="D32" s="734">
        <v>148</v>
      </c>
      <c r="E32" s="734">
        <v>309</v>
      </c>
      <c r="F32" s="734">
        <v>852</v>
      </c>
      <c r="G32" s="734">
        <v>1618</v>
      </c>
      <c r="H32" s="735">
        <v>1544</v>
      </c>
      <c r="I32" s="736">
        <v>4620</v>
      </c>
    </row>
    <row r="33" spans="1:9" s="413" customFormat="1" x14ac:dyDescent="0.3">
      <c r="A33" s="539"/>
      <c r="B33" s="732" t="s">
        <v>366</v>
      </c>
      <c r="C33" s="733">
        <v>133</v>
      </c>
      <c r="D33" s="734">
        <v>169</v>
      </c>
      <c r="E33" s="734">
        <v>350</v>
      </c>
      <c r="F33" s="734">
        <v>886</v>
      </c>
      <c r="G33" s="734">
        <v>1669</v>
      </c>
      <c r="H33" s="735">
        <v>1608</v>
      </c>
      <c r="I33" s="736">
        <v>4815</v>
      </c>
    </row>
    <row r="34" spans="1:9" s="413" customFormat="1" ht="12" thickBot="1" x14ac:dyDescent="0.35">
      <c r="A34" s="403"/>
      <c r="B34" s="176" t="s">
        <v>333</v>
      </c>
      <c r="C34" s="106">
        <v>131</v>
      </c>
      <c r="D34" s="105">
        <v>191</v>
      </c>
      <c r="E34" s="105">
        <v>356</v>
      </c>
      <c r="F34" s="105">
        <v>829</v>
      </c>
      <c r="G34" s="105">
        <v>1789</v>
      </c>
      <c r="H34" s="654">
        <v>1657</v>
      </c>
      <c r="I34" s="1243">
        <v>4953</v>
      </c>
    </row>
    <row r="35" spans="1:9" s="413" customFormat="1" x14ac:dyDescent="0.3">
      <c r="A35" s="791"/>
      <c r="B35" s="792"/>
      <c r="C35" s="81"/>
      <c r="D35" s="81"/>
      <c r="E35" s="81"/>
      <c r="F35" s="81"/>
      <c r="G35" s="81"/>
      <c r="H35" s="793"/>
      <c r="I35" s="81"/>
    </row>
    <row r="36" spans="1:9" s="413" customFormat="1" x14ac:dyDescent="0.3">
      <c r="A36" s="791"/>
      <c r="B36" s="792"/>
      <c r="C36" s="81"/>
      <c r="D36" s="81"/>
      <c r="E36" s="81"/>
      <c r="F36" s="81"/>
      <c r="G36" s="81"/>
      <c r="H36" s="793"/>
      <c r="I36" s="81"/>
    </row>
    <row r="37" spans="1:9" s="11" customFormat="1" ht="12.9" thickBot="1" x14ac:dyDescent="0.35">
      <c r="A37" s="7" t="s">
        <v>542</v>
      </c>
      <c r="B37" s="169"/>
      <c r="C37" s="169"/>
      <c r="D37" s="169"/>
      <c r="E37" s="169"/>
      <c r="F37" s="169"/>
      <c r="G37" s="169"/>
      <c r="H37" s="169"/>
      <c r="I37" s="169"/>
    </row>
    <row r="38" spans="1:9" s="11" customFormat="1" ht="40.950000000000003" customHeight="1" thickBot="1" x14ac:dyDescent="0.35">
      <c r="A38" s="448"/>
      <c r="B38" s="449"/>
      <c r="C38" s="1631" t="s">
        <v>481</v>
      </c>
      <c r="D38" s="1632"/>
      <c r="E38" s="1632"/>
      <c r="F38" s="1632"/>
      <c r="G38" s="1632"/>
      <c r="H38" s="1632"/>
      <c r="I38" s="1633"/>
    </row>
    <row r="39" spans="1:9" customFormat="1" ht="12.9" thickBot="1" x14ac:dyDescent="0.35">
      <c r="A39" s="450" t="s">
        <v>2</v>
      </c>
      <c r="B39" s="451" t="s">
        <v>3</v>
      </c>
      <c r="C39" s="605" t="s">
        <v>4</v>
      </c>
      <c r="D39" s="606" t="s">
        <v>5</v>
      </c>
      <c r="E39" s="606" t="s">
        <v>6</v>
      </c>
      <c r="F39" s="606" t="s">
        <v>12</v>
      </c>
      <c r="G39" s="606" t="s">
        <v>478</v>
      </c>
      <c r="H39" s="607" t="s">
        <v>453</v>
      </c>
      <c r="I39" s="608" t="s">
        <v>11</v>
      </c>
    </row>
    <row r="40" spans="1:9" customFormat="1" ht="12.45" x14ac:dyDescent="0.3">
      <c r="A40" s="458">
        <v>1</v>
      </c>
      <c r="B40" s="459" t="s">
        <v>14</v>
      </c>
      <c r="C40" s="954">
        <v>0</v>
      </c>
      <c r="D40" s="955">
        <v>1</v>
      </c>
      <c r="E40" s="955">
        <v>19</v>
      </c>
      <c r="F40" s="955">
        <v>39</v>
      </c>
      <c r="G40" s="955">
        <v>53</v>
      </c>
      <c r="H40" s="956">
        <v>55</v>
      </c>
      <c r="I40" s="460">
        <f t="shared" ref="I40:I54" si="3">SUM(C40:H40)</f>
        <v>167</v>
      </c>
    </row>
    <row r="41" spans="1:9" customFormat="1" ht="12.45" x14ac:dyDescent="0.3">
      <c r="A41" s="461">
        <v>2</v>
      </c>
      <c r="B41" s="462" t="s">
        <v>15</v>
      </c>
      <c r="C41" s="733">
        <v>0</v>
      </c>
      <c r="D41" s="734">
        <v>3</v>
      </c>
      <c r="E41" s="734">
        <v>12</v>
      </c>
      <c r="F41" s="734">
        <v>52</v>
      </c>
      <c r="G41" s="734">
        <v>42</v>
      </c>
      <c r="H41" s="735">
        <v>55</v>
      </c>
      <c r="I41" s="463">
        <f t="shared" si="3"/>
        <v>164</v>
      </c>
    </row>
    <row r="42" spans="1:9" customFormat="1" ht="12.45" x14ac:dyDescent="0.3">
      <c r="A42" s="461">
        <v>3</v>
      </c>
      <c r="B42" s="462" t="s">
        <v>16</v>
      </c>
      <c r="C42" s="733">
        <v>0</v>
      </c>
      <c r="D42" s="734">
        <v>1</v>
      </c>
      <c r="E42" s="734">
        <v>19</v>
      </c>
      <c r="F42" s="734">
        <v>43</v>
      </c>
      <c r="G42" s="734">
        <v>50</v>
      </c>
      <c r="H42" s="735">
        <v>55</v>
      </c>
      <c r="I42" s="463">
        <f t="shared" si="3"/>
        <v>168</v>
      </c>
    </row>
    <row r="43" spans="1:9" customFormat="1" ht="12.45" x14ac:dyDescent="0.3">
      <c r="A43" s="461">
        <v>4</v>
      </c>
      <c r="B43" s="462" t="s">
        <v>17</v>
      </c>
      <c r="C43" s="733">
        <v>0</v>
      </c>
      <c r="D43" s="734">
        <v>2</v>
      </c>
      <c r="E43" s="734">
        <v>10</v>
      </c>
      <c r="F43" s="734">
        <v>23</v>
      </c>
      <c r="G43" s="734">
        <v>28</v>
      </c>
      <c r="H43" s="735">
        <v>37</v>
      </c>
      <c r="I43" s="463">
        <f t="shared" si="3"/>
        <v>100</v>
      </c>
    </row>
    <row r="44" spans="1:9" customFormat="1" ht="12.45" x14ac:dyDescent="0.3">
      <c r="A44" s="461">
        <v>5</v>
      </c>
      <c r="B44" s="462" t="s">
        <v>18</v>
      </c>
      <c r="C44" s="733">
        <v>0</v>
      </c>
      <c r="D44" s="734">
        <v>2</v>
      </c>
      <c r="E44" s="734">
        <v>17</v>
      </c>
      <c r="F44" s="734">
        <v>76</v>
      </c>
      <c r="G44" s="734">
        <v>147</v>
      </c>
      <c r="H44" s="735">
        <v>133</v>
      </c>
      <c r="I44" s="463">
        <f t="shared" si="3"/>
        <v>375</v>
      </c>
    </row>
    <row r="45" spans="1:9" customFormat="1" ht="12.45" x14ac:dyDescent="0.3">
      <c r="A45" s="464">
        <v>6</v>
      </c>
      <c r="B45" s="465" t="s">
        <v>19</v>
      </c>
      <c r="C45" s="733">
        <v>0</v>
      </c>
      <c r="D45" s="734">
        <v>1</v>
      </c>
      <c r="E45" s="734">
        <v>12</v>
      </c>
      <c r="F45" s="734">
        <v>48</v>
      </c>
      <c r="G45" s="734">
        <v>99</v>
      </c>
      <c r="H45" s="735">
        <v>92</v>
      </c>
      <c r="I45" s="463">
        <f t="shared" si="3"/>
        <v>252</v>
      </c>
    </row>
    <row r="46" spans="1:9" customFormat="1" ht="12.45" x14ac:dyDescent="0.3">
      <c r="A46" s="464">
        <v>7</v>
      </c>
      <c r="B46" s="465" t="s">
        <v>20</v>
      </c>
      <c r="C46" s="733">
        <v>0</v>
      </c>
      <c r="D46" s="734">
        <v>2</v>
      </c>
      <c r="E46" s="734">
        <v>18</v>
      </c>
      <c r="F46" s="734">
        <v>58</v>
      </c>
      <c r="G46" s="734">
        <v>101</v>
      </c>
      <c r="H46" s="735">
        <v>127</v>
      </c>
      <c r="I46" s="463">
        <f t="shared" si="3"/>
        <v>306</v>
      </c>
    </row>
    <row r="47" spans="1:9" customFormat="1" ht="12.45" x14ac:dyDescent="0.3">
      <c r="A47" s="461">
        <v>8</v>
      </c>
      <c r="B47" s="462" t="s">
        <v>21</v>
      </c>
      <c r="C47" s="733">
        <v>0</v>
      </c>
      <c r="D47" s="734"/>
      <c r="E47" s="734">
        <v>11</v>
      </c>
      <c r="F47" s="734">
        <v>53</v>
      </c>
      <c r="G47" s="734">
        <v>115</v>
      </c>
      <c r="H47" s="735">
        <v>129</v>
      </c>
      <c r="I47" s="463">
        <f t="shared" si="3"/>
        <v>308</v>
      </c>
    </row>
    <row r="48" spans="1:9" customFormat="1" ht="12.45" x14ac:dyDescent="0.3">
      <c r="A48" s="461">
        <v>9</v>
      </c>
      <c r="B48" s="462" t="s">
        <v>22</v>
      </c>
      <c r="C48" s="733">
        <v>0</v>
      </c>
      <c r="D48" s="734"/>
      <c r="E48" s="734">
        <v>7</v>
      </c>
      <c r="F48" s="734">
        <v>31</v>
      </c>
      <c r="G48" s="734">
        <v>65</v>
      </c>
      <c r="H48" s="735">
        <v>53</v>
      </c>
      <c r="I48" s="463">
        <f t="shared" si="3"/>
        <v>156</v>
      </c>
    </row>
    <row r="49" spans="1:14" customFormat="1" ht="12.45" x14ac:dyDescent="0.3">
      <c r="A49" s="461">
        <v>10</v>
      </c>
      <c r="B49" s="462" t="s">
        <v>23</v>
      </c>
      <c r="C49" s="733">
        <v>0</v>
      </c>
      <c r="D49" s="734"/>
      <c r="E49" s="734">
        <v>10</v>
      </c>
      <c r="F49" s="734">
        <v>42</v>
      </c>
      <c r="G49" s="734">
        <v>56</v>
      </c>
      <c r="H49" s="735">
        <v>54</v>
      </c>
      <c r="I49" s="463">
        <f t="shared" si="3"/>
        <v>162</v>
      </c>
    </row>
    <row r="50" spans="1:14" customFormat="1" ht="12.45" x14ac:dyDescent="0.3">
      <c r="A50" s="464">
        <v>11</v>
      </c>
      <c r="B50" s="465" t="s">
        <v>24</v>
      </c>
      <c r="C50" s="733">
        <v>0</v>
      </c>
      <c r="D50" s="734"/>
      <c r="E50" s="734">
        <v>8</v>
      </c>
      <c r="F50" s="734">
        <v>49</v>
      </c>
      <c r="G50" s="734">
        <v>79</v>
      </c>
      <c r="H50" s="735">
        <v>50</v>
      </c>
      <c r="I50" s="463">
        <f t="shared" si="3"/>
        <v>186</v>
      </c>
    </row>
    <row r="51" spans="1:14" customFormat="1" ht="12.45" x14ac:dyDescent="0.3">
      <c r="A51" s="461">
        <v>12</v>
      </c>
      <c r="B51" s="462" t="s">
        <v>25</v>
      </c>
      <c r="C51" s="733">
        <v>0</v>
      </c>
      <c r="D51" s="734">
        <v>2</v>
      </c>
      <c r="E51" s="734">
        <v>23</v>
      </c>
      <c r="F51" s="734">
        <v>69</v>
      </c>
      <c r="G51" s="734">
        <v>110</v>
      </c>
      <c r="H51" s="735">
        <v>98</v>
      </c>
      <c r="I51" s="463">
        <f t="shared" si="3"/>
        <v>302</v>
      </c>
    </row>
    <row r="52" spans="1:14" customFormat="1" ht="12.45" x14ac:dyDescent="0.3">
      <c r="A52" s="461">
        <v>13</v>
      </c>
      <c r="B52" s="462" t="s">
        <v>26</v>
      </c>
      <c r="C52" s="733">
        <v>0</v>
      </c>
      <c r="D52" s="734">
        <v>1</v>
      </c>
      <c r="E52" s="734">
        <v>11</v>
      </c>
      <c r="F52" s="734">
        <v>60</v>
      </c>
      <c r="G52" s="734">
        <v>191</v>
      </c>
      <c r="H52" s="735">
        <v>184</v>
      </c>
      <c r="I52" s="463">
        <f t="shared" si="3"/>
        <v>447</v>
      </c>
    </row>
    <row r="53" spans="1:14" customFormat="1" ht="12.45" x14ac:dyDescent="0.3">
      <c r="A53" s="461">
        <v>14</v>
      </c>
      <c r="B53" s="462" t="s">
        <v>27</v>
      </c>
      <c r="C53" s="733">
        <v>0</v>
      </c>
      <c r="D53" s="734">
        <v>1</v>
      </c>
      <c r="E53" s="734">
        <v>20</v>
      </c>
      <c r="F53" s="734">
        <v>72</v>
      </c>
      <c r="G53" s="734">
        <v>168</v>
      </c>
      <c r="H53" s="735">
        <v>196</v>
      </c>
      <c r="I53" s="463">
        <f t="shared" si="3"/>
        <v>457</v>
      </c>
    </row>
    <row r="54" spans="1:14" s="30" customFormat="1" ht="12" thickBot="1" x14ac:dyDescent="0.35">
      <c r="A54" s="466">
        <v>15</v>
      </c>
      <c r="B54" s="467" t="s">
        <v>28</v>
      </c>
      <c r="C54" s="106">
        <v>0</v>
      </c>
      <c r="D54" s="105">
        <v>2</v>
      </c>
      <c r="E54" s="105">
        <v>16</v>
      </c>
      <c r="F54" s="105">
        <v>25</v>
      </c>
      <c r="G54" s="105">
        <v>39</v>
      </c>
      <c r="H54" s="654">
        <v>35</v>
      </c>
      <c r="I54" s="468">
        <f t="shared" si="3"/>
        <v>117</v>
      </c>
      <c r="N54" s="30" t="s">
        <v>108</v>
      </c>
    </row>
    <row r="55" spans="1:14" s="30" customFormat="1" x14ac:dyDescent="0.3">
      <c r="A55" s="406" t="s">
        <v>479</v>
      </c>
      <c r="B55" s="655" t="s">
        <v>543</v>
      </c>
      <c r="C55" s="1127">
        <f t="shared" ref="C55:I55" si="4">SUM(C40:C54)</f>
        <v>0</v>
      </c>
      <c r="D55" s="829">
        <f t="shared" si="4"/>
        <v>18</v>
      </c>
      <c r="E55" s="829">
        <f t="shared" si="4"/>
        <v>213</v>
      </c>
      <c r="F55" s="829">
        <f t="shared" si="4"/>
        <v>740</v>
      </c>
      <c r="G55" s="829">
        <f t="shared" si="4"/>
        <v>1343</v>
      </c>
      <c r="H55" s="1232">
        <f t="shared" si="4"/>
        <v>1353</v>
      </c>
      <c r="I55" s="656">
        <f t="shared" si="4"/>
        <v>3667</v>
      </c>
    </row>
    <row r="56" spans="1:14" s="413" customFormat="1" x14ac:dyDescent="0.3">
      <c r="A56" s="1242" t="s">
        <v>479</v>
      </c>
      <c r="B56" s="1429" t="s">
        <v>483</v>
      </c>
      <c r="C56" s="1434">
        <v>0</v>
      </c>
      <c r="D56" s="1435">
        <v>18</v>
      </c>
      <c r="E56" s="1435">
        <v>208</v>
      </c>
      <c r="F56" s="1435">
        <v>743</v>
      </c>
      <c r="G56" s="1435">
        <v>1344</v>
      </c>
      <c r="H56" s="1436">
        <v>1384</v>
      </c>
      <c r="I56" s="1437">
        <v>3697</v>
      </c>
    </row>
    <row r="57" spans="1:14" s="346" customFormat="1" x14ac:dyDescent="0.3">
      <c r="A57" s="539"/>
      <c r="B57" s="732" t="s">
        <v>454</v>
      </c>
      <c r="C57" s="733">
        <v>0</v>
      </c>
      <c r="D57" s="734">
        <v>13</v>
      </c>
      <c r="E57" s="734">
        <v>190</v>
      </c>
      <c r="F57" s="734">
        <v>713</v>
      </c>
      <c r="G57" s="734">
        <v>1391</v>
      </c>
      <c r="H57" s="735">
        <v>1382</v>
      </c>
      <c r="I57" s="736">
        <v>3689</v>
      </c>
    </row>
    <row r="58" spans="1:14" s="346" customFormat="1" x14ac:dyDescent="0.3">
      <c r="A58" s="539"/>
      <c r="B58" s="732" t="s">
        <v>448</v>
      </c>
      <c r="C58" s="733">
        <v>0</v>
      </c>
      <c r="D58" s="734">
        <v>16</v>
      </c>
      <c r="E58" s="734">
        <v>195</v>
      </c>
      <c r="F58" s="734">
        <v>728</v>
      </c>
      <c r="G58" s="734">
        <v>1408</v>
      </c>
      <c r="H58" s="735">
        <v>1399</v>
      </c>
      <c r="I58" s="736">
        <v>3746</v>
      </c>
    </row>
    <row r="59" spans="1:14" s="346" customFormat="1" x14ac:dyDescent="0.3">
      <c r="A59" s="539"/>
      <c r="B59" s="732" t="s">
        <v>414</v>
      </c>
      <c r="C59" s="733">
        <v>0</v>
      </c>
      <c r="D59" s="734">
        <v>16</v>
      </c>
      <c r="E59" s="734">
        <v>207</v>
      </c>
      <c r="F59" s="734">
        <v>713</v>
      </c>
      <c r="G59" s="734">
        <v>1431</v>
      </c>
      <c r="H59" s="735">
        <v>1418</v>
      </c>
      <c r="I59" s="736">
        <v>3785</v>
      </c>
    </row>
    <row r="60" spans="1:14" s="346" customFormat="1" x14ac:dyDescent="0.3">
      <c r="A60" s="539"/>
      <c r="B60" s="732" t="s">
        <v>366</v>
      </c>
      <c r="C60" s="733">
        <v>0</v>
      </c>
      <c r="D60" s="734">
        <v>22</v>
      </c>
      <c r="E60" s="734">
        <v>202</v>
      </c>
      <c r="F60" s="734">
        <v>718</v>
      </c>
      <c r="G60" s="734">
        <v>1447</v>
      </c>
      <c r="H60" s="735">
        <v>1494</v>
      </c>
      <c r="I60" s="736">
        <v>3883</v>
      </c>
    </row>
    <row r="61" spans="1:14" s="346" customFormat="1" ht="12" thickBot="1" x14ac:dyDescent="0.35">
      <c r="A61" s="403"/>
      <c r="B61" s="176" t="s">
        <v>333</v>
      </c>
      <c r="C61" s="106">
        <v>0</v>
      </c>
      <c r="D61" s="105">
        <v>24</v>
      </c>
      <c r="E61" s="105">
        <v>203</v>
      </c>
      <c r="F61" s="105">
        <v>659</v>
      </c>
      <c r="G61" s="105">
        <v>1557</v>
      </c>
      <c r="H61" s="654">
        <v>1529</v>
      </c>
      <c r="I61" s="1243">
        <v>3972</v>
      </c>
    </row>
    <row r="62" spans="1:14" s="413" customFormat="1" x14ac:dyDescent="0.3">
      <c r="A62" s="791"/>
      <c r="B62" s="792"/>
      <c r="C62" s="81"/>
      <c r="D62" s="81"/>
      <c r="E62" s="81"/>
      <c r="F62" s="81"/>
      <c r="G62" s="81"/>
      <c r="H62" s="793"/>
      <c r="I62" s="81"/>
    </row>
    <row r="63" spans="1:14" s="415" customFormat="1" ht="12.45" x14ac:dyDescent="0.3">
      <c r="A63" s="791"/>
      <c r="B63" s="792"/>
      <c r="C63" s="81"/>
      <c r="D63" s="81"/>
      <c r="E63" s="81"/>
      <c r="F63" s="81"/>
      <c r="G63" s="81"/>
      <c r="H63" s="793"/>
      <c r="I63" s="81"/>
    </row>
    <row r="64" spans="1:14" customFormat="1" ht="12.9" thickBot="1" x14ac:dyDescent="0.35">
      <c r="A64" s="7" t="s">
        <v>544</v>
      </c>
      <c r="B64" s="169"/>
      <c r="C64" s="169"/>
      <c r="D64" s="169"/>
      <c r="E64" s="169"/>
      <c r="F64" s="169"/>
      <c r="G64" s="169"/>
      <c r="H64" s="169"/>
      <c r="I64" s="169"/>
    </row>
    <row r="65" spans="1:9" customFormat="1" ht="46.95" customHeight="1" thickBot="1" x14ac:dyDescent="0.35">
      <c r="A65" s="473"/>
      <c r="B65" s="474"/>
      <c r="C65" s="1637" t="s">
        <v>482</v>
      </c>
      <c r="D65" s="1638"/>
      <c r="E65" s="1638"/>
      <c r="F65" s="1638"/>
      <c r="G65" s="1638"/>
      <c r="H65" s="1638"/>
      <c r="I65" s="1639"/>
    </row>
    <row r="66" spans="1:9" customFormat="1" ht="12.9" thickBot="1" x14ac:dyDescent="0.35">
      <c r="A66" s="475" t="s">
        <v>2</v>
      </c>
      <c r="B66" s="451" t="s">
        <v>3</v>
      </c>
      <c r="C66" s="648" t="s">
        <v>4</v>
      </c>
      <c r="D66" s="649" t="s">
        <v>5</v>
      </c>
      <c r="E66" s="649" t="s">
        <v>6</v>
      </c>
      <c r="F66" s="649" t="s">
        <v>12</v>
      </c>
      <c r="G66" s="649" t="s">
        <v>478</v>
      </c>
      <c r="H66" s="650" t="s">
        <v>453</v>
      </c>
      <c r="I66" s="651" t="s">
        <v>11</v>
      </c>
    </row>
    <row r="67" spans="1:9" customFormat="1" ht="12.45" x14ac:dyDescent="0.3">
      <c r="A67" s="476">
        <v>1</v>
      </c>
      <c r="B67" s="459" t="s">
        <v>14</v>
      </c>
      <c r="C67" s="1248">
        <v>0</v>
      </c>
      <c r="D67" s="1088">
        <v>2</v>
      </c>
      <c r="E67" s="1088">
        <v>1</v>
      </c>
      <c r="F67" s="1088">
        <v>9</v>
      </c>
      <c r="G67" s="1088">
        <v>7</v>
      </c>
      <c r="H67" s="1088">
        <v>1</v>
      </c>
      <c r="I67" s="1244">
        <f t="shared" ref="I67:I81" si="5">SUM(C67:H67)</f>
        <v>20</v>
      </c>
    </row>
    <row r="68" spans="1:9" customFormat="1" ht="12.45" x14ac:dyDescent="0.3">
      <c r="A68" s="477">
        <v>2</v>
      </c>
      <c r="B68" s="462" t="s">
        <v>15</v>
      </c>
      <c r="C68" s="1249">
        <v>0</v>
      </c>
      <c r="D68" s="1088">
        <v>2</v>
      </c>
      <c r="E68" s="1088">
        <v>2</v>
      </c>
      <c r="F68" s="1088">
        <v>11</v>
      </c>
      <c r="G68" s="1088">
        <v>4</v>
      </c>
      <c r="H68" s="1088">
        <v>3</v>
      </c>
      <c r="I68" s="1245">
        <f t="shared" si="5"/>
        <v>22</v>
      </c>
    </row>
    <row r="69" spans="1:9" customFormat="1" ht="12.45" x14ac:dyDescent="0.3">
      <c r="A69" s="477">
        <v>3</v>
      </c>
      <c r="B69" s="462" t="s">
        <v>16</v>
      </c>
      <c r="C69" s="1249">
        <v>0</v>
      </c>
      <c r="D69" s="1249">
        <v>0</v>
      </c>
      <c r="E69" s="1088">
        <v>4</v>
      </c>
      <c r="F69" s="1088">
        <v>7</v>
      </c>
      <c r="G69" s="1088">
        <v>8</v>
      </c>
      <c r="H69" s="1088">
        <v>5</v>
      </c>
      <c r="I69" s="1245">
        <f t="shared" si="5"/>
        <v>24</v>
      </c>
    </row>
    <row r="70" spans="1:9" customFormat="1" ht="12.45" x14ac:dyDescent="0.3">
      <c r="A70" s="477">
        <v>4</v>
      </c>
      <c r="B70" s="462" t="s">
        <v>17</v>
      </c>
      <c r="C70" s="1249">
        <v>0</v>
      </c>
      <c r="D70" s="1088">
        <v>1</v>
      </c>
      <c r="E70" s="1249">
        <v>0</v>
      </c>
      <c r="F70" s="1088">
        <v>4</v>
      </c>
      <c r="G70" s="1088">
        <v>2</v>
      </c>
      <c r="H70" s="1088">
        <v>5</v>
      </c>
      <c r="I70" s="1245">
        <f t="shared" si="5"/>
        <v>12</v>
      </c>
    </row>
    <row r="71" spans="1:9" customFormat="1" ht="12.45" x14ac:dyDescent="0.3">
      <c r="A71" s="477">
        <v>5</v>
      </c>
      <c r="B71" s="462" t="s">
        <v>18</v>
      </c>
      <c r="C71" s="1249">
        <v>0</v>
      </c>
      <c r="D71" s="1249">
        <v>0</v>
      </c>
      <c r="E71" s="1088">
        <v>2</v>
      </c>
      <c r="F71" s="1088">
        <v>10</v>
      </c>
      <c r="G71" s="1088">
        <v>13</v>
      </c>
      <c r="H71" s="1088">
        <v>10</v>
      </c>
      <c r="I71" s="1245">
        <f t="shared" si="5"/>
        <v>35</v>
      </c>
    </row>
    <row r="72" spans="1:9" customFormat="1" ht="12.45" x14ac:dyDescent="0.3">
      <c r="A72" s="478">
        <v>6</v>
      </c>
      <c r="B72" s="465" t="s">
        <v>19</v>
      </c>
      <c r="C72" s="1249">
        <v>0</v>
      </c>
      <c r="D72" s="1249">
        <v>0</v>
      </c>
      <c r="E72" s="1249">
        <v>0</v>
      </c>
      <c r="F72" s="1088">
        <v>11</v>
      </c>
      <c r="G72" s="1088">
        <v>14</v>
      </c>
      <c r="H72" s="1088">
        <v>11</v>
      </c>
      <c r="I72" s="1245">
        <f t="shared" si="5"/>
        <v>36</v>
      </c>
    </row>
    <row r="73" spans="1:9" customFormat="1" ht="12.45" x14ac:dyDescent="0.3">
      <c r="A73" s="478">
        <v>7</v>
      </c>
      <c r="B73" s="465" t="s">
        <v>20</v>
      </c>
      <c r="C73" s="1249">
        <v>0</v>
      </c>
      <c r="D73" s="1249">
        <v>0</v>
      </c>
      <c r="E73" s="1088">
        <v>2</v>
      </c>
      <c r="F73" s="1088">
        <v>11</v>
      </c>
      <c r="G73" s="1088">
        <v>12</v>
      </c>
      <c r="H73" s="1088">
        <v>10</v>
      </c>
      <c r="I73" s="1245">
        <f t="shared" si="5"/>
        <v>35</v>
      </c>
    </row>
    <row r="74" spans="1:9" customFormat="1" ht="12.45" x14ac:dyDescent="0.3">
      <c r="A74" s="477">
        <v>8</v>
      </c>
      <c r="B74" s="462" t="s">
        <v>21</v>
      </c>
      <c r="C74" s="1249">
        <v>0</v>
      </c>
      <c r="D74" s="1249">
        <v>0</v>
      </c>
      <c r="E74" s="1088">
        <v>3</v>
      </c>
      <c r="F74" s="1088">
        <v>10</v>
      </c>
      <c r="G74" s="1088">
        <v>9</v>
      </c>
      <c r="H74" s="1088">
        <v>2</v>
      </c>
      <c r="I74" s="1245">
        <f t="shared" si="5"/>
        <v>24</v>
      </c>
    </row>
    <row r="75" spans="1:9" customFormat="1" ht="12.45" x14ac:dyDescent="0.3">
      <c r="A75" s="477">
        <v>9</v>
      </c>
      <c r="B75" s="462" t="s">
        <v>22</v>
      </c>
      <c r="C75" s="1249">
        <v>0</v>
      </c>
      <c r="D75" s="1088">
        <v>1</v>
      </c>
      <c r="E75" s="1088">
        <v>1</v>
      </c>
      <c r="F75" s="1088">
        <v>6</v>
      </c>
      <c r="G75" s="1088">
        <v>12</v>
      </c>
      <c r="H75" s="1088">
        <v>10</v>
      </c>
      <c r="I75" s="1245">
        <f t="shared" si="5"/>
        <v>30</v>
      </c>
    </row>
    <row r="76" spans="1:9" customFormat="1" ht="12.45" x14ac:dyDescent="0.3">
      <c r="A76" s="477">
        <v>10</v>
      </c>
      <c r="B76" s="462" t="s">
        <v>23</v>
      </c>
      <c r="C76" s="1249">
        <v>0</v>
      </c>
      <c r="D76" s="1249">
        <v>0</v>
      </c>
      <c r="E76" s="1088">
        <v>7</v>
      </c>
      <c r="F76" s="1088">
        <v>12</v>
      </c>
      <c r="G76" s="1088">
        <v>8</v>
      </c>
      <c r="H76" s="1088">
        <v>2</v>
      </c>
      <c r="I76" s="1245">
        <f t="shared" si="5"/>
        <v>29</v>
      </c>
    </row>
    <row r="77" spans="1:9" customFormat="1" ht="12.45" x14ac:dyDescent="0.3">
      <c r="A77" s="478">
        <v>11</v>
      </c>
      <c r="B77" s="465" t="s">
        <v>24</v>
      </c>
      <c r="C77" s="1249">
        <v>0</v>
      </c>
      <c r="D77" s="1249">
        <v>0</v>
      </c>
      <c r="E77" s="1088">
        <v>2</v>
      </c>
      <c r="F77" s="1088">
        <v>9</v>
      </c>
      <c r="G77" s="1088">
        <v>8</v>
      </c>
      <c r="H77" s="1249">
        <v>0</v>
      </c>
      <c r="I77" s="1245">
        <f t="shared" si="5"/>
        <v>19</v>
      </c>
    </row>
    <row r="78" spans="1:9" customFormat="1" ht="12.45" x14ac:dyDescent="0.3">
      <c r="A78" s="477">
        <v>12</v>
      </c>
      <c r="B78" s="462" t="s">
        <v>25</v>
      </c>
      <c r="C78" s="1249">
        <v>0</v>
      </c>
      <c r="D78" s="1088">
        <v>2</v>
      </c>
      <c r="E78" s="1088">
        <v>7</v>
      </c>
      <c r="F78" s="1088">
        <v>15</v>
      </c>
      <c r="G78" s="1088">
        <v>16</v>
      </c>
      <c r="H78" s="1088">
        <v>5</v>
      </c>
      <c r="I78" s="1245">
        <f t="shared" si="5"/>
        <v>45</v>
      </c>
    </row>
    <row r="79" spans="1:9" customFormat="1" ht="12.45" x14ac:dyDescent="0.3">
      <c r="A79" s="477">
        <v>13</v>
      </c>
      <c r="B79" s="462" t="s">
        <v>26</v>
      </c>
      <c r="C79" s="1249">
        <v>0</v>
      </c>
      <c r="D79" s="1249">
        <v>0</v>
      </c>
      <c r="E79" s="1088">
        <v>2</v>
      </c>
      <c r="F79" s="1088">
        <v>15</v>
      </c>
      <c r="G79" s="1088">
        <v>22</v>
      </c>
      <c r="H79" s="1088">
        <v>14</v>
      </c>
      <c r="I79" s="1245">
        <f t="shared" si="5"/>
        <v>53</v>
      </c>
    </row>
    <row r="80" spans="1:9" customFormat="1" ht="12.45" x14ac:dyDescent="0.3">
      <c r="A80" s="477">
        <v>14</v>
      </c>
      <c r="B80" s="462" t="s">
        <v>27</v>
      </c>
      <c r="C80" s="1249">
        <v>0</v>
      </c>
      <c r="D80" s="1249">
        <v>0</v>
      </c>
      <c r="E80" s="1088">
        <v>2</v>
      </c>
      <c r="F80" s="1088">
        <v>13</v>
      </c>
      <c r="G80" s="1088">
        <v>17</v>
      </c>
      <c r="H80" s="1088">
        <v>15</v>
      </c>
      <c r="I80" s="1245">
        <f t="shared" si="5"/>
        <v>47</v>
      </c>
    </row>
    <row r="81" spans="1:12" customFormat="1" ht="12.9" thickBot="1" x14ac:dyDescent="0.35">
      <c r="A81" s="479">
        <v>15</v>
      </c>
      <c r="B81" s="480" t="s">
        <v>28</v>
      </c>
      <c r="C81" s="1250">
        <v>0</v>
      </c>
      <c r="D81" s="1249">
        <v>0</v>
      </c>
      <c r="E81" s="1088">
        <v>6</v>
      </c>
      <c r="F81" s="1088">
        <v>9</v>
      </c>
      <c r="G81" s="1088">
        <v>3</v>
      </c>
      <c r="H81" s="1088">
        <v>2</v>
      </c>
      <c r="I81" s="1246">
        <f t="shared" si="5"/>
        <v>20</v>
      </c>
      <c r="K81" t="s">
        <v>108</v>
      </c>
    </row>
    <row r="82" spans="1:12" customFormat="1" ht="12.45" x14ac:dyDescent="0.3">
      <c r="A82" s="406" t="s">
        <v>479</v>
      </c>
      <c r="B82" s="655" t="s">
        <v>543</v>
      </c>
      <c r="C82" s="1251">
        <f t="shared" ref="C82:I82" si="6">SUM(C67:C81)</f>
        <v>0</v>
      </c>
      <c r="D82" s="100">
        <f>SUM(D67:D81)</f>
        <v>8</v>
      </c>
      <c r="E82" s="100">
        <f>SUM(E67:E81)</f>
        <v>41</v>
      </c>
      <c r="F82" s="100">
        <f>SUM(F67:F81)</f>
        <v>152</v>
      </c>
      <c r="G82" s="100">
        <f>SUM(G67:G81)</f>
        <v>155</v>
      </c>
      <c r="H82" s="100">
        <f t="shared" ref="H82" si="7">SUM(H67:H81)</f>
        <v>95</v>
      </c>
      <c r="I82" s="1247">
        <f t="shared" si="6"/>
        <v>451</v>
      </c>
      <c r="J82" s="346"/>
    </row>
    <row r="83" spans="1:12" s="415" customFormat="1" ht="12.45" x14ac:dyDescent="0.3">
      <c r="A83" s="1242" t="s">
        <v>479</v>
      </c>
      <c r="B83" s="1429" t="s">
        <v>483</v>
      </c>
      <c r="C83" s="1438">
        <v>0</v>
      </c>
      <c r="D83" s="1268">
        <v>11</v>
      </c>
      <c r="E83" s="1268">
        <v>48</v>
      </c>
      <c r="F83" s="1268">
        <v>106</v>
      </c>
      <c r="G83" s="1268">
        <v>179</v>
      </c>
      <c r="H83" s="1268">
        <v>82</v>
      </c>
      <c r="I83" s="1439">
        <v>426</v>
      </c>
      <c r="J83" s="413"/>
    </row>
    <row r="84" spans="1:12" s="412" customFormat="1" ht="12.45" x14ac:dyDescent="0.3">
      <c r="A84" s="539"/>
      <c r="B84" s="732" t="s">
        <v>454</v>
      </c>
      <c r="C84" s="733">
        <v>0</v>
      </c>
      <c r="D84" s="734">
        <v>12</v>
      </c>
      <c r="E84" s="734">
        <v>46</v>
      </c>
      <c r="F84" s="734">
        <v>132</v>
      </c>
      <c r="G84" s="734">
        <v>153</v>
      </c>
      <c r="H84" s="734">
        <v>121</v>
      </c>
      <c r="I84" s="736">
        <v>464</v>
      </c>
    </row>
    <row r="85" spans="1:12" s="412" customFormat="1" ht="12.45" x14ac:dyDescent="0.3">
      <c r="A85" s="539"/>
      <c r="B85" s="732" t="s">
        <v>448</v>
      </c>
      <c r="C85" s="733">
        <v>0</v>
      </c>
      <c r="D85" s="734">
        <v>18</v>
      </c>
      <c r="E85" s="734">
        <v>44</v>
      </c>
      <c r="F85" s="734">
        <v>127</v>
      </c>
      <c r="G85" s="734">
        <v>173</v>
      </c>
      <c r="H85" s="734">
        <v>103</v>
      </c>
      <c r="I85" s="736">
        <v>465</v>
      </c>
    </row>
    <row r="86" spans="1:12" s="412" customFormat="1" ht="12.45" x14ac:dyDescent="0.3">
      <c r="A86" s="539"/>
      <c r="B86" s="732" t="s">
        <v>414</v>
      </c>
      <c r="C86" s="733">
        <v>0</v>
      </c>
      <c r="D86" s="734">
        <v>9</v>
      </c>
      <c r="E86" s="734">
        <v>35</v>
      </c>
      <c r="F86" s="734">
        <v>116</v>
      </c>
      <c r="G86" s="734">
        <v>179</v>
      </c>
      <c r="H86" s="734">
        <v>124</v>
      </c>
      <c r="I86" s="736">
        <v>463</v>
      </c>
    </row>
    <row r="87" spans="1:12" s="412" customFormat="1" ht="12.45" x14ac:dyDescent="0.3">
      <c r="A87" s="539"/>
      <c r="B87" s="732" t="s">
        <v>366</v>
      </c>
      <c r="C87" s="733">
        <v>0</v>
      </c>
      <c r="D87" s="734">
        <v>12</v>
      </c>
      <c r="E87" s="734">
        <v>46</v>
      </c>
      <c r="F87" s="734">
        <v>131</v>
      </c>
      <c r="G87" s="734">
        <v>212</v>
      </c>
      <c r="H87" s="734">
        <v>111</v>
      </c>
      <c r="I87" s="736">
        <v>512</v>
      </c>
    </row>
    <row r="88" spans="1:12" s="412" customFormat="1" ht="12.9" thickBot="1" x14ac:dyDescent="0.35">
      <c r="A88" s="403"/>
      <c r="B88" s="176" t="s">
        <v>333</v>
      </c>
      <c r="C88" s="106">
        <v>0</v>
      </c>
      <c r="D88" s="105">
        <v>21</v>
      </c>
      <c r="E88" s="105">
        <v>45</v>
      </c>
      <c r="F88" s="105">
        <v>124</v>
      </c>
      <c r="G88" s="105">
        <v>224</v>
      </c>
      <c r="H88" s="105">
        <v>127</v>
      </c>
      <c r="I88" s="1243">
        <v>541</v>
      </c>
      <c r="L88" s="412" t="s">
        <v>108</v>
      </c>
    </row>
    <row r="89" spans="1:12" s="415" customFormat="1" ht="12.45" x14ac:dyDescent="0.3">
      <c r="A89" s="791"/>
      <c r="B89" s="792"/>
      <c r="C89" s="81"/>
      <c r="D89" s="81"/>
      <c r="E89" s="81"/>
      <c r="F89" s="81"/>
      <c r="G89" s="81"/>
      <c r="H89" s="793"/>
      <c r="I89" s="81"/>
    </row>
    <row r="90" spans="1:12" customFormat="1" ht="12.9" thickBot="1" x14ac:dyDescent="0.35">
      <c r="A90" s="7" t="s">
        <v>545</v>
      </c>
      <c r="B90" s="169"/>
      <c r="C90" s="169"/>
      <c r="D90" s="169"/>
      <c r="E90" s="169"/>
      <c r="F90" s="169"/>
      <c r="G90" s="169"/>
      <c r="H90" s="169"/>
      <c r="I90" s="169"/>
    </row>
    <row r="91" spans="1:12" customFormat="1" ht="12.9" thickBot="1" x14ac:dyDescent="0.35">
      <c r="A91" s="9"/>
      <c r="B91" s="449"/>
      <c r="C91" s="1634" t="s">
        <v>480</v>
      </c>
      <c r="D91" s="1635"/>
      <c r="E91" s="1635"/>
      <c r="F91" s="1635"/>
      <c r="G91" s="1635"/>
      <c r="H91" s="1635"/>
      <c r="I91" s="1636"/>
    </row>
    <row r="92" spans="1:12" customFormat="1" ht="12.9" thickBot="1" x14ac:dyDescent="0.35">
      <c r="A92" s="13" t="s">
        <v>2</v>
      </c>
      <c r="B92" s="451" t="s">
        <v>3</v>
      </c>
      <c r="C92" s="605" t="s">
        <v>4</v>
      </c>
      <c r="D92" s="606" t="s">
        <v>5</v>
      </c>
      <c r="E92" s="606" t="s">
        <v>6</v>
      </c>
      <c r="F92" s="606" t="s">
        <v>7</v>
      </c>
      <c r="G92" s="606" t="s">
        <v>9</v>
      </c>
      <c r="H92" s="607" t="s">
        <v>325</v>
      </c>
      <c r="I92" s="608" t="s">
        <v>11</v>
      </c>
      <c r="J92" s="122"/>
    </row>
    <row r="93" spans="1:12" customFormat="1" ht="12.45" x14ac:dyDescent="0.3">
      <c r="A93" s="17">
        <v>1</v>
      </c>
      <c r="B93" s="459" t="s">
        <v>14</v>
      </c>
      <c r="C93" s="954">
        <v>20</v>
      </c>
      <c r="D93" s="955">
        <v>2</v>
      </c>
      <c r="E93" s="955">
        <v>0</v>
      </c>
      <c r="F93" s="955">
        <v>0</v>
      </c>
      <c r="G93" s="955">
        <v>0</v>
      </c>
      <c r="H93" s="956">
        <v>0</v>
      </c>
      <c r="I93" s="471">
        <f t="shared" ref="I93:I107" si="8">SUM(C93:H93)</f>
        <v>22</v>
      </c>
    </row>
    <row r="94" spans="1:12" customFormat="1" ht="12.45" x14ac:dyDescent="0.3">
      <c r="A94" s="23">
        <v>2</v>
      </c>
      <c r="B94" s="462" t="s">
        <v>15</v>
      </c>
      <c r="C94" s="733">
        <v>11</v>
      </c>
      <c r="D94" s="734">
        <v>8</v>
      </c>
      <c r="E94" s="734">
        <v>0</v>
      </c>
      <c r="F94" s="734">
        <v>0</v>
      </c>
      <c r="G94" s="734">
        <v>0</v>
      </c>
      <c r="H94" s="735">
        <v>0</v>
      </c>
      <c r="I94" s="472">
        <f t="shared" si="8"/>
        <v>19</v>
      </c>
    </row>
    <row r="95" spans="1:12" customFormat="1" ht="12.45" x14ac:dyDescent="0.3">
      <c r="A95" s="23">
        <v>3</v>
      </c>
      <c r="B95" s="462" t="s">
        <v>16</v>
      </c>
      <c r="C95" s="733">
        <v>8</v>
      </c>
      <c r="D95" s="734">
        <v>4</v>
      </c>
      <c r="E95" s="734">
        <v>0</v>
      </c>
      <c r="F95" s="734">
        <v>0</v>
      </c>
      <c r="G95" s="734">
        <v>0</v>
      </c>
      <c r="H95" s="735">
        <v>0</v>
      </c>
      <c r="I95" s="472">
        <f t="shared" si="8"/>
        <v>12</v>
      </c>
    </row>
    <row r="96" spans="1:12" customFormat="1" ht="12.45" x14ac:dyDescent="0.3">
      <c r="A96" s="23">
        <v>4</v>
      </c>
      <c r="B96" s="462" t="s">
        <v>17</v>
      </c>
      <c r="C96" s="733">
        <v>0</v>
      </c>
      <c r="D96" s="734">
        <v>1</v>
      </c>
      <c r="E96" s="734">
        <v>0</v>
      </c>
      <c r="F96" s="734">
        <v>0</v>
      </c>
      <c r="G96" s="734">
        <v>0</v>
      </c>
      <c r="H96" s="735">
        <v>0</v>
      </c>
      <c r="I96" s="472">
        <f t="shared" si="8"/>
        <v>1</v>
      </c>
    </row>
    <row r="97" spans="1:10" customFormat="1" ht="12.45" x14ac:dyDescent="0.3">
      <c r="A97" s="23">
        <v>5</v>
      </c>
      <c r="B97" s="462" t="s">
        <v>18</v>
      </c>
      <c r="C97" s="733">
        <v>4</v>
      </c>
      <c r="D97" s="734">
        <v>0</v>
      </c>
      <c r="E97" s="734">
        <v>0</v>
      </c>
      <c r="F97" s="734">
        <v>0</v>
      </c>
      <c r="G97" s="734">
        <v>0</v>
      </c>
      <c r="H97" s="735">
        <v>0</v>
      </c>
      <c r="I97" s="472">
        <f t="shared" si="8"/>
        <v>4</v>
      </c>
    </row>
    <row r="98" spans="1:10" customFormat="1" ht="12.45" x14ac:dyDescent="0.3">
      <c r="A98" s="25">
        <v>6</v>
      </c>
      <c r="B98" s="465" t="s">
        <v>19</v>
      </c>
      <c r="C98" s="733">
        <v>8</v>
      </c>
      <c r="D98" s="734">
        <v>6</v>
      </c>
      <c r="E98" s="734">
        <v>0</v>
      </c>
      <c r="F98" s="734">
        <v>0</v>
      </c>
      <c r="G98" s="734">
        <v>0</v>
      </c>
      <c r="H98" s="735">
        <v>0</v>
      </c>
      <c r="I98" s="472">
        <f t="shared" si="8"/>
        <v>14</v>
      </c>
    </row>
    <row r="99" spans="1:10" customFormat="1" ht="12.45" x14ac:dyDescent="0.3">
      <c r="A99" s="25">
        <v>7</v>
      </c>
      <c r="B99" s="465" t="s">
        <v>20</v>
      </c>
      <c r="C99" s="733">
        <v>14</v>
      </c>
      <c r="D99" s="734">
        <v>5</v>
      </c>
      <c r="E99" s="734">
        <v>0</v>
      </c>
      <c r="F99" s="734">
        <v>0</v>
      </c>
      <c r="G99" s="734">
        <v>0</v>
      </c>
      <c r="H99" s="735">
        <v>0</v>
      </c>
      <c r="I99" s="472">
        <f t="shared" si="8"/>
        <v>19</v>
      </c>
    </row>
    <row r="100" spans="1:10" customFormat="1" ht="12.45" x14ac:dyDescent="0.3">
      <c r="A100" s="23">
        <v>8</v>
      </c>
      <c r="B100" s="462" t="s">
        <v>21</v>
      </c>
      <c r="C100" s="733">
        <v>18</v>
      </c>
      <c r="D100" s="734">
        <v>2</v>
      </c>
      <c r="E100" s="734">
        <v>0</v>
      </c>
      <c r="F100" s="734">
        <v>0</v>
      </c>
      <c r="G100" s="734">
        <v>0</v>
      </c>
      <c r="H100" s="735">
        <v>0</v>
      </c>
      <c r="I100" s="472">
        <f t="shared" si="8"/>
        <v>20</v>
      </c>
    </row>
    <row r="101" spans="1:10" customFormat="1" ht="12.45" x14ac:dyDescent="0.3">
      <c r="A101" s="23">
        <v>9</v>
      </c>
      <c r="B101" s="462" t="s">
        <v>22</v>
      </c>
      <c r="C101" s="733">
        <v>8</v>
      </c>
      <c r="D101" s="734">
        <v>4</v>
      </c>
      <c r="E101" s="734">
        <v>0</v>
      </c>
      <c r="F101" s="734">
        <v>0</v>
      </c>
      <c r="G101" s="734">
        <v>0</v>
      </c>
      <c r="H101" s="735">
        <v>0</v>
      </c>
      <c r="I101" s="472">
        <f t="shared" si="8"/>
        <v>12</v>
      </c>
    </row>
    <row r="102" spans="1:10" customFormat="1" ht="12.45" x14ac:dyDescent="0.3">
      <c r="A102" s="23">
        <v>10</v>
      </c>
      <c r="B102" s="462" t="s">
        <v>23</v>
      </c>
      <c r="C102" s="733">
        <v>7</v>
      </c>
      <c r="D102" s="734">
        <v>1</v>
      </c>
      <c r="E102" s="734">
        <v>0</v>
      </c>
      <c r="F102" s="734">
        <v>0</v>
      </c>
      <c r="G102" s="734">
        <v>0</v>
      </c>
      <c r="H102" s="735">
        <v>0</v>
      </c>
      <c r="I102" s="472">
        <f t="shared" si="8"/>
        <v>8</v>
      </c>
    </row>
    <row r="103" spans="1:10" customFormat="1" ht="12.45" x14ac:dyDescent="0.3">
      <c r="A103" s="25">
        <v>11</v>
      </c>
      <c r="B103" s="465" t="s">
        <v>24</v>
      </c>
      <c r="C103" s="733">
        <v>18</v>
      </c>
      <c r="D103" s="734">
        <v>7</v>
      </c>
      <c r="E103" s="734">
        <v>0</v>
      </c>
      <c r="F103" s="734">
        <v>0</v>
      </c>
      <c r="G103" s="734">
        <v>0</v>
      </c>
      <c r="H103" s="735">
        <v>0</v>
      </c>
      <c r="I103" s="472">
        <f t="shared" si="8"/>
        <v>25</v>
      </c>
    </row>
    <row r="104" spans="1:10" customFormat="1" ht="12.45" x14ac:dyDescent="0.3">
      <c r="A104" s="23">
        <v>12</v>
      </c>
      <c r="B104" s="462" t="s">
        <v>25</v>
      </c>
      <c r="C104" s="733">
        <v>23</v>
      </c>
      <c r="D104" s="734">
        <v>11</v>
      </c>
      <c r="E104" s="734">
        <v>2</v>
      </c>
      <c r="F104" s="734">
        <v>0</v>
      </c>
      <c r="G104" s="734">
        <v>0</v>
      </c>
      <c r="H104" s="735">
        <v>0</v>
      </c>
      <c r="I104" s="472">
        <f t="shared" si="8"/>
        <v>36</v>
      </c>
    </row>
    <row r="105" spans="1:10" customFormat="1" ht="12.45" x14ac:dyDescent="0.3">
      <c r="A105" s="23">
        <v>13</v>
      </c>
      <c r="B105" s="462" t="s">
        <v>26</v>
      </c>
      <c r="C105" s="733">
        <v>11</v>
      </c>
      <c r="D105" s="734">
        <v>4</v>
      </c>
      <c r="E105" s="734">
        <v>0</v>
      </c>
      <c r="F105" s="734">
        <v>0</v>
      </c>
      <c r="G105" s="734">
        <v>0</v>
      </c>
      <c r="H105" s="735">
        <v>0</v>
      </c>
      <c r="I105" s="472">
        <f t="shared" si="8"/>
        <v>15</v>
      </c>
    </row>
    <row r="106" spans="1:10" customFormat="1" ht="12.45" x14ac:dyDescent="0.3">
      <c r="A106" s="23">
        <v>14</v>
      </c>
      <c r="B106" s="462" t="s">
        <v>27</v>
      </c>
      <c r="C106" s="733">
        <v>12</v>
      </c>
      <c r="D106" s="734">
        <v>7</v>
      </c>
      <c r="E106" s="734">
        <v>0</v>
      </c>
      <c r="F106" s="734">
        <v>0</v>
      </c>
      <c r="G106" s="734">
        <v>0</v>
      </c>
      <c r="H106" s="735">
        <v>0</v>
      </c>
      <c r="I106" s="472">
        <f t="shared" si="8"/>
        <v>19</v>
      </c>
    </row>
    <row r="107" spans="1:10" customFormat="1" ht="12.9" thickBot="1" x14ac:dyDescent="0.35">
      <c r="A107" s="27">
        <v>15</v>
      </c>
      <c r="B107" s="467" t="s">
        <v>28</v>
      </c>
      <c r="C107" s="106">
        <v>20</v>
      </c>
      <c r="D107" s="105">
        <v>13</v>
      </c>
      <c r="E107" s="105">
        <v>0</v>
      </c>
      <c r="F107" s="105">
        <v>0</v>
      </c>
      <c r="G107" s="105">
        <v>0</v>
      </c>
      <c r="H107" s="654">
        <v>0</v>
      </c>
      <c r="I107" s="609">
        <f t="shared" si="8"/>
        <v>33</v>
      </c>
      <c r="J107" s="412"/>
    </row>
    <row r="108" spans="1:10" customFormat="1" ht="12.45" x14ac:dyDescent="0.3">
      <c r="A108" s="406" t="s">
        <v>479</v>
      </c>
      <c r="B108" s="655" t="s">
        <v>543</v>
      </c>
      <c r="C108" s="657">
        <f t="shared" ref="C108:I108" si="9">SUM(C93:C107)</f>
        <v>182</v>
      </c>
      <c r="D108" s="102">
        <f t="shared" si="9"/>
        <v>75</v>
      </c>
      <c r="E108" s="102">
        <f t="shared" si="9"/>
        <v>2</v>
      </c>
      <c r="F108" s="102">
        <f t="shared" si="9"/>
        <v>0</v>
      </c>
      <c r="G108" s="102">
        <f t="shared" si="9"/>
        <v>0</v>
      </c>
      <c r="H108" s="653">
        <f t="shared" si="9"/>
        <v>0</v>
      </c>
      <c r="I108" s="656">
        <f t="shared" si="9"/>
        <v>259</v>
      </c>
      <c r="J108" s="346"/>
    </row>
    <row r="109" spans="1:10" s="415" customFormat="1" ht="12.45" x14ac:dyDescent="0.3">
      <c r="A109" s="1242" t="s">
        <v>479</v>
      </c>
      <c r="B109" s="1429" t="s">
        <v>483</v>
      </c>
      <c r="C109" s="1434">
        <v>176</v>
      </c>
      <c r="D109" s="1435">
        <v>71</v>
      </c>
      <c r="E109" s="1435">
        <v>2</v>
      </c>
      <c r="F109" s="1435">
        <v>0</v>
      </c>
      <c r="G109" s="1435">
        <v>0</v>
      </c>
      <c r="H109" s="1436">
        <v>0</v>
      </c>
      <c r="I109" s="1437">
        <v>249</v>
      </c>
      <c r="J109" s="413"/>
    </row>
    <row r="110" spans="1:10" x14ac:dyDescent="0.3">
      <c r="A110" s="539"/>
      <c r="B110" s="732" t="s">
        <v>454</v>
      </c>
      <c r="C110" s="1252">
        <v>183</v>
      </c>
      <c r="D110" s="734">
        <v>67</v>
      </c>
      <c r="E110" s="734">
        <v>2</v>
      </c>
      <c r="F110" s="734">
        <v>0</v>
      </c>
      <c r="G110" s="734">
        <v>0</v>
      </c>
      <c r="H110" s="735">
        <v>0</v>
      </c>
      <c r="I110" s="1272">
        <v>252</v>
      </c>
      <c r="J110" s="118" t="s">
        <v>527</v>
      </c>
    </row>
    <row r="111" spans="1:10" x14ac:dyDescent="0.3">
      <c r="A111" s="539"/>
      <c r="B111" s="732" t="s">
        <v>448</v>
      </c>
      <c r="C111" s="733">
        <v>162</v>
      </c>
      <c r="D111" s="734">
        <v>67</v>
      </c>
      <c r="E111" s="734">
        <v>3</v>
      </c>
      <c r="F111" s="734">
        <v>0</v>
      </c>
      <c r="G111" s="734">
        <v>0</v>
      </c>
      <c r="H111" s="735">
        <v>0</v>
      </c>
      <c r="I111" s="736">
        <v>232</v>
      </c>
    </row>
    <row r="112" spans="1:10" x14ac:dyDescent="0.3">
      <c r="A112" s="539"/>
      <c r="B112" s="732" t="s">
        <v>377</v>
      </c>
      <c r="C112" s="733">
        <v>140</v>
      </c>
      <c r="D112" s="734">
        <v>84</v>
      </c>
      <c r="E112" s="734">
        <v>2</v>
      </c>
      <c r="F112" s="734">
        <v>1</v>
      </c>
      <c r="G112" s="734">
        <v>0</v>
      </c>
      <c r="H112" s="735">
        <v>0</v>
      </c>
      <c r="I112" s="736">
        <v>227</v>
      </c>
    </row>
    <row r="113" spans="1:24" x14ac:dyDescent="0.3">
      <c r="A113" s="539"/>
      <c r="B113" s="732" t="s">
        <v>366</v>
      </c>
      <c r="C113" s="733">
        <v>133</v>
      </c>
      <c r="D113" s="734">
        <v>73</v>
      </c>
      <c r="E113" s="734">
        <v>2</v>
      </c>
      <c r="F113" s="734">
        <v>1</v>
      </c>
      <c r="G113" s="734">
        <v>0</v>
      </c>
      <c r="H113" s="735">
        <v>0</v>
      </c>
      <c r="I113" s="736">
        <v>209</v>
      </c>
    </row>
    <row r="114" spans="1:24" ht="12" thickBot="1" x14ac:dyDescent="0.35">
      <c r="A114" s="403"/>
      <c r="B114" s="176" t="s">
        <v>333</v>
      </c>
      <c r="C114" s="106">
        <v>131</v>
      </c>
      <c r="D114" s="105">
        <v>67</v>
      </c>
      <c r="E114" s="105">
        <v>3</v>
      </c>
      <c r="F114" s="105">
        <v>1</v>
      </c>
      <c r="G114" s="105">
        <v>0</v>
      </c>
      <c r="H114" s="654">
        <v>0</v>
      </c>
      <c r="I114" s="1243">
        <v>202</v>
      </c>
    </row>
    <row r="116" spans="1:24" ht="12.9" thickBot="1" x14ac:dyDescent="0.35">
      <c r="A116" s="469" t="s">
        <v>546</v>
      </c>
      <c r="B116" s="61"/>
      <c r="C116" s="61"/>
      <c r="D116" s="61"/>
      <c r="E116" s="61"/>
      <c r="F116" s="61"/>
      <c r="G116" s="61"/>
      <c r="H116" s="61"/>
      <c r="I116" s="61"/>
    </row>
    <row r="117" spans="1:24" ht="12" thickBot="1" x14ac:dyDescent="0.35">
      <c r="A117" s="448"/>
      <c r="B117" s="449"/>
      <c r="C117" s="1628" t="s">
        <v>484</v>
      </c>
      <c r="D117" s="1628"/>
      <c r="E117" s="1628"/>
      <c r="F117" s="1628"/>
      <c r="G117" s="1628"/>
      <c r="H117" s="1628"/>
      <c r="I117" s="1628"/>
    </row>
    <row r="118" spans="1:24" ht="12" thickBot="1" x14ac:dyDescent="0.35">
      <c r="A118" s="450" t="s">
        <v>2</v>
      </c>
      <c r="B118" s="451" t="s">
        <v>3</v>
      </c>
      <c r="C118" s="605" t="s">
        <v>4</v>
      </c>
      <c r="D118" s="606" t="s">
        <v>5</v>
      </c>
      <c r="E118" s="606" t="s">
        <v>6</v>
      </c>
      <c r="F118" s="606" t="s">
        <v>12</v>
      </c>
      <c r="G118" s="606" t="s">
        <v>478</v>
      </c>
      <c r="H118" s="607" t="s">
        <v>453</v>
      </c>
      <c r="I118" s="608" t="s">
        <v>11</v>
      </c>
    </row>
    <row r="119" spans="1:24" x14ac:dyDescent="0.3">
      <c r="A119" s="458">
        <v>1</v>
      </c>
      <c r="B119" s="459" t="s">
        <v>14</v>
      </c>
      <c r="C119" s="954">
        <v>0</v>
      </c>
      <c r="D119" s="955">
        <v>17</v>
      </c>
      <c r="E119" s="955">
        <v>4</v>
      </c>
      <c r="F119" s="955">
        <v>3</v>
      </c>
      <c r="G119" s="955">
        <v>0</v>
      </c>
      <c r="H119" s="1273">
        <v>1</v>
      </c>
      <c r="I119" s="1275">
        <f>SUM(C119:H119)</f>
        <v>25</v>
      </c>
    </row>
    <row r="120" spans="1:24" x14ac:dyDescent="0.3">
      <c r="A120" s="461">
        <v>2</v>
      </c>
      <c r="B120" s="462" t="s">
        <v>15</v>
      </c>
      <c r="C120" s="733">
        <v>0</v>
      </c>
      <c r="D120" s="734">
        <v>5</v>
      </c>
      <c r="E120" s="734">
        <v>4</v>
      </c>
      <c r="F120" s="734">
        <v>2</v>
      </c>
      <c r="G120" s="734">
        <v>0</v>
      </c>
      <c r="H120" s="1274">
        <v>0</v>
      </c>
      <c r="I120" s="1276">
        <f t="shared" ref="I120:I133" si="10">SUM(C120:H120)</f>
        <v>11</v>
      </c>
    </row>
    <row r="121" spans="1:24" x14ac:dyDescent="0.3">
      <c r="A121" s="461">
        <v>3</v>
      </c>
      <c r="B121" s="462" t="s">
        <v>16</v>
      </c>
      <c r="C121" s="733">
        <v>0</v>
      </c>
      <c r="D121" s="734">
        <v>4</v>
      </c>
      <c r="E121" s="734">
        <v>3</v>
      </c>
      <c r="F121" s="734">
        <v>0</v>
      </c>
      <c r="G121" s="734">
        <v>1</v>
      </c>
      <c r="H121" s="1274">
        <v>0</v>
      </c>
      <c r="I121" s="1276">
        <f t="shared" si="10"/>
        <v>8</v>
      </c>
    </row>
    <row r="122" spans="1:24" x14ac:dyDescent="0.3">
      <c r="A122" s="461">
        <v>4</v>
      </c>
      <c r="B122" s="462" t="s">
        <v>17</v>
      </c>
      <c r="C122" s="733">
        <v>0</v>
      </c>
      <c r="D122" s="734">
        <v>9</v>
      </c>
      <c r="E122" s="734">
        <v>6</v>
      </c>
      <c r="F122" s="734">
        <v>0</v>
      </c>
      <c r="G122" s="734">
        <v>1</v>
      </c>
      <c r="H122" s="1274">
        <v>0</v>
      </c>
      <c r="I122" s="1276">
        <f t="shared" si="10"/>
        <v>16</v>
      </c>
    </row>
    <row r="123" spans="1:24" x14ac:dyDescent="0.3">
      <c r="A123" s="461">
        <v>5</v>
      </c>
      <c r="B123" s="462" t="s">
        <v>18</v>
      </c>
      <c r="C123" s="733">
        <v>0</v>
      </c>
      <c r="D123" s="734">
        <v>13</v>
      </c>
      <c r="E123" s="734">
        <v>12</v>
      </c>
      <c r="F123" s="734">
        <v>5</v>
      </c>
      <c r="G123" s="734">
        <v>0</v>
      </c>
      <c r="H123" s="1274">
        <v>0</v>
      </c>
      <c r="I123" s="1276">
        <f t="shared" si="10"/>
        <v>30</v>
      </c>
    </row>
    <row r="124" spans="1:24" x14ac:dyDescent="0.3">
      <c r="A124" s="464">
        <v>6</v>
      </c>
      <c r="B124" s="465" t="s">
        <v>19</v>
      </c>
      <c r="C124" s="733">
        <v>0</v>
      </c>
      <c r="D124" s="734">
        <v>1</v>
      </c>
      <c r="E124" s="734">
        <v>2</v>
      </c>
      <c r="F124" s="734">
        <v>0</v>
      </c>
      <c r="G124" s="734">
        <v>0</v>
      </c>
      <c r="H124" s="1274">
        <v>0</v>
      </c>
      <c r="I124" s="1276">
        <f t="shared" si="10"/>
        <v>3</v>
      </c>
    </row>
    <row r="125" spans="1:24" x14ac:dyDescent="0.3">
      <c r="A125" s="464">
        <v>7</v>
      </c>
      <c r="B125" s="465" t="s">
        <v>20</v>
      </c>
      <c r="C125" s="733">
        <v>0</v>
      </c>
      <c r="D125" s="734">
        <v>3</v>
      </c>
      <c r="E125" s="734">
        <v>3</v>
      </c>
      <c r="F125" s="734">
        <v>0</v>
      </c>
      <c r="G125" s="734">
        <v>0</v>
      </c>
      <c r="H125" s="1274">
        <v>0</v>
      </c>
      <c r="I125" s="1276">
        <f t="shared" si="10"/>
        <v>6</v>
      </c>
    </row>
    <row r="126" spans="1:24" x14ac:dyDescent="0.3">
      <c r="A126" s="461">
        <v>8</v>
      </c>
      <c r="B126" s="462" t="s">
        <v>21</v>
      </c>
      <c r="C126" s="733">
        <v>0</v>
      </c>
      <c r="D126" s="734">
        <v>0</v>
      </c>
      <c r="E126" s="734">
        <v>2</v>
      </c>
      <c r="F126" s="734">
        <v>1</v>
      </c>
      <c r="G126" s="734">
        <v>0</v>
      </c>
      <c r="H126" s="1274">
        <v>0</v>
      </c>
      <c r="I126" s="1276">
        <f t="shared" si="10"/>
        <v>3</v>
      </c>
      <c r="X126" s="2" t="s">
        <v>108</v>
      </c>
    </row>
    <row r="127" spans="1:24" x14ac:dyDescent="0.3">
      <c r="A127" s="461">
        <v>9</v>
      </c>
      <c r="B127" s="462" t="s">
        <v>22</v>
      </c>
      <c r="C127" s="733">
        <v>0</v>
      </c>
      <c r="D127" s="734">
        <v>1</v>
      </c>
      <c r="E127" s="734">
        <v>1</v>
      </c>
      <c r="F127" s="734">
        <v>0</v>
      </c>
      <c r="G127" s="734">
        <v>0</v>
      </c>
      <c r="H127" s="1274">
        <v>0</v>
      </c>
      <c r="I127" s="1276">
        <f t="shared" si="10"/>
        <v>2</v>
      </c>
    </row>
    <row r="128" spans="1:24" x14ac:dyDescent="0.3">
      <c r="A128" s="461">
        <v>10</v>
      </c>
      <c r="B128" s="462" t="s">
        <v>23</v>
      </c>
      <c r="C128" s="733">
        <v>0</v>
      </c>
      <c r="D128" s="734">
        <v>0</v>
      </c>
      <c r="E128" s="734">
        <v>1</v>
      </c>
      <c r="F128" s="734">
        <v>0</v>
      </c>
      <c r="G128" s="734">
        <v>0</v>
      </c>
      <c r="H128" s="1274">
        <v>0</v>
      </c>
      <c r="I128" s="1276">
        <f t="shared" si="10"/>
        <v>1</v>
      </c>
    </row>
    <row r="129" spans="1:10" x14ac:dyDescent="0.3">
      <c r="A129" s="464">
        <v>11</v>
      </c>
      <c r="B129" s="465" t="s">
        <v>24</v>
      </c>
      <c r="C129" s="733">
        <v>0</v>
      </c>
      <c r="D129" s="734">
        <v>1</v>
      </c>
      <c r="E129" s="734">
        <v>2</v>
      </c>
      <c r="F129" s="734">
        <v>0</v>
      </c>
      <c r="G129" s="734">
        <v>0</v>
      </c>
      <c r="H129" s="1274">
        <v>0</v>
      </c>
      <c r="I129" s="1276">
        <f t="shared" si="10"/>
        <v>3</v>
      </c>
    </row>
    <row r="130" spans="1:10" x14ac:dyDescent="0.3">
      <c r="A130" s="461">
        <v>12</v>
      </c>
      <c r="B130" s="462" t="s">
        <v>25</v>
      </c>
      <c r="C130" s="733">
        <v>0</v>
      </c>
      <c r="D130" s="734">
        <v>2</v>
      </c>
      <c r="E130" s="734">
        <v>6</v>
      </c>
      <c r="F130" s="734">
        <v>4</v>
      </c>
      <c r="G130" s="734">
        <v>0</v>
      </c>
      <c r="H130" s="1274">
        <v>0</v>
      </c>
      <c r="I130" s="1276">
        <f t="shared" si="10"/>
        <v>12</v>
      </c>
    </row>
    <row r="131" spans="1:10" x14ac:dyDescent="0.3">
      <c r="A131" s="461">
        <v>13</v>
      </c>
      <c r="B131" s="462" t="s">
        <v>26</v>
      </c>
      <c r="C131" s="733">
        <v>0</v>
      </c>
      <c r="D131" s="734">
        <v>1</v>
      </c>
      <c r="E131" s="734">
        <v>1</v>
      </c>
      <c r="F131" s="734">
        <v>0</v>
      </c>
      <c r="G131" s="734">
        <v>0</v>
      </c>
      <c r="H131" s="1274">
        <v>0</v>
      </c>
      <c r="I131" s="1276">
        <f t="shared" si="10"/>
        <v>2</v>
      </c>
    </row>
    <row r="132" spans="1:10" x14ac:dyDescent="0.3">
      <c r="A132" s="461">
        <v>14</v>
      </c>
      <c r="B132" s="462" t="s">
        <v>27</v>
      </c>
      <c r="C132" s="733">
        <v>0</v>
      </c>
      <c r="D132" s="734">
        <v>1</v>
      </c>
      <c r="E132" s="734">
        <v>1</v>
      </c>
      <c r="F132" s="734">
        <v>0</v>
      </c>
      <c r="G132" s="734">
        <v>0</v>
      </c>
      <c r="H132" s="1274">
        <v>0</v>
      </c>
      <c r="I132" s="1276">
        <f t="shared" si="10"/>
        <v>2</v>
      </c>
    </row>
    <row r="133" spans="1:10" ht="12" thickBot="1" x14ac:dyDescent="0.35">
      <c r="A133" s="466">
        <v>15</v>
      </c>
      <c r="B133" s="467" t="s">
        <v>28</v>
      </c>
      <c r="C133" s="106">
        <v>0</v>
      </c>
      <c r="D133" s="105">
        <v>1</v>
      </c>
      <c r="E133" s="105">
        <v>0</v>
      </c>
      <c r="F133" s="105">
        <v>0</v>
      </c>
      <c r="G133" s="105">
        <v>0</v>
      </c>
      <c r="H133" s="165">
        <v>0</v>
      </c>
      <c r="I133" s="1277">
        <f t="shared" si="10"/>
        <v>1</v>
      </c>
    </row>
    <row r="134" spans="1:10" x14ac:dyDescent="0.3">
      <c r="A134" s="406" t="s">
        <v>479</v>
      </c>
      <c r="B134" s="655" t="s">
        <v>543</v>
      </c>
      <c r="C134" s="657">
        <f t="shared" ref="C134:I134" si="11">SUM(C119:C133)</f>
        <v>0</v>
      </c>
      <c r="D134" s="102">
        <f t="shared" si="11"/>
        <v>59</v>
      </c>
      <c r="E134" s="102">
        <f t="shared" si="11"/>
        <v>48</v>
      </c>
      <c r="F134" s="102">
        <f t="shared" si="11"/>
        <v>15</v>
      </c>
      <c r="G134" s="102">
        <f t="shared" si="11"/>
        <v>2</v>
      </c>
      <c r="H134" s="653">
        <f t="shared" si="11"/>
        <v>1</v>
      </c>
      <c r="I134" s="656">
        <f t="shared" si="11"/>
        <v>125</v>
      </c>
      <c r="J134" s="346"/>
    </row>
    <row r="135" spans="1:10" s="413" customFormat="1" x14ac:dyDescent="0.3">
      <c r="A135" s="1242" t="s">
        <v>479</v>
      </c>
      <c r="B135" s="1429" t="s">
        <v>483</v>
      </c>
      <c r="C135" s="1434">
        <v>0</v>
      </c>
      <c r="D135" s="1435">
        <v>57</v>
      </c>
      <c r="E135" s="1435">
        <v>44</v>
      </c>
      <c r="F135" s="350">
        <v>15</v>
      </c>
      <c r="G135" s="350">
        <v>3</v>
      </c>
      <c r="H135" s="900">
        <v>0</v>
      </c>
      <c r="I135" s="1440">
        <v>119</v>
      </c>
    </row>
    <row r="136" spans="1:10" x14ac:dyDescent="0.3">
      <c r="A136" s="539"/>
      <c r="B136" s="732" t="s">
        <v>454</v>
      </c>
      <c r="C136" s="733">
        <v>0</v>
      </c>
      <c r="D136" s="734">
        <v>38</v>
      </c>
      <c r="E136" s="734">
        <v>52</v>
      </c>
      <c r="F136" s="103">
        <v>22</v>
      </c>
      <c r="G136" s="103">
        <v>7</v>
      </c>
      <c r="H136" s="103">
        <v>1</v>
      </c>
      <c r="I136" s="148">
        <v>120</v>
      </c>
    </row>
    <row r="137" spans="1:10" x14ac:dyDescent="0.3">
      <c r="A137" s="539"/>
      <c r="B137" s="732" t="s">
        <v>448</v>
      </c>
      <c r="C137" s="733">
        <v>0</v>
      </c>
      <c r="D137" s="734">
        <v>39</v>
      </c>
      <c r="E137" s="734">
        <v>56</v>
      </c>
      <c r="F137" s="103">
        <v>21</v>
      </c>
      <c r="G137" s="103">
        <v>7</v>
      </c>
      <c r="H137" s="103">
        <v>1</v>
      </c>
      <c r="I137" s="148">
        <v>124</v>
      </c>
    </row>
    <row r="138" spans="1:10" x14ac:dyDescent="0.3">
      <c r="A138" s="539"/>
      <c r="B138" s="732" t="s">
        <v>414</v>
      </c>
      <c r="C138" s="733">
        <v>0</v>
      </c>
      <c r="D138" s="734">
        <v>46</v>
      </c>
      <c r="E138" s="734">
        <v>64</v>
      </c>
      <c r="F138" s="103">
        <v>23</v>
      </c>
      <c r="G138" s="103">
        <v>8</v>
      </c>
      <c r="H138" s="103">
        <v>2</v>
      </c>
      <c r="I138" s="148">
        <v>143</v>
      </c>
    </row>
    <row r="139" spans="1:10" x14ac:dyDescent="0.3">
      <c r="A139" s="539"/>
      <c r="B139" s="732" t="s">
        <v>366</v>
      </c>
      <c r="C139" s="733">
        <v>0</v>
      </c>
      <c r="D139" s="734">
        <v>62</v>
      </c>
      <c r="E139" s="734">
        <v>100</v>
      </c>
      <c r="F139" s="103">
        <v>36</v>
      </c>
      <c r="G139" s="103">
        <v>10</v>
      </c>
      <c r="H139" s="103">
        <v>3</v>
      </c>
      <c r="I139" s="148">
        <v>211</v>
      </c>
    </row>
    <row r="140" spans="1:10" ht="12" thickBot="1" x14ac:dyDescent="0.35">
      <c r="A140" s="403"/>
      <c r="B140" s="176" t="s">
        <v>333</v>
      </c>
      <c r="C140" s="106">
        <v>0</v>
      </c>
      <c r="D140" s="105">
        <v>79</v>
      </c>
      <c r="E140" s="105">
        <v>105</v>
      </c>
      <c r="F140" s="105">
        <v>45</v>
      </c>
      <c r="G140" s="105">
        <v>8</v>
      </c>
      <c r="H140" s="105">
        <v>1</v>
      </c>
      <c r="I140" s="654">
        <v>238</v>
      </c>
    </row>
  </sheetData>
  <mergeCells count="5">
    <mergeCell ref="C117:I117"/>
    <mergeCell ref="C11:I11"/>
    <mergeCell ref="C38:I38"/>
    <mergeCell ref="C91:I91"/>
    <mergeCell ref="C65:I65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  <rowBreaks count="4" manualBreakCount="4">
    <brk id="7" max="16383" man="1"/>
    <brk id="36" max="16383" man="1"/>
    <brk id="63" max="16383" man="1"/>
    <brk id="89" max="16383" man="1"/>
  </row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1">
    <tabColor rgb="FFFF0000"/>
  </sheetPr>
  <dimension ref="A1:S33"/>
  <sheetViews>
    <sheetView showGridLines="0" zoomScaleNormal="100" workbookViewId="0">
      <selection activeCell="J10" sqref="J10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15.69140625" style="2" customWidth="1"/>
    <col min="4" max="4" width="13" style="2" customWidth="1"/>
    <col min="5" max="5" width="13.3046875" style="2" customWidth="1"/>
    <col min="6" max="6" width="13.69140625" style="2" customWidth="1"/>
    <col min="7" max="7" width="12.07421875" style="2" customWidth="1"/>
    <col min="8" max="8" width="13.53515625" style="30" customWidth="1"/>
    <col min="9" max="9" width="11.4609375" style="2" customWidth="1"/>
    <col min="10" max="16384" width="11.4609375" style="2"/>
  </cols>
  <sheetData>
    <row r="1" spans="1:13" x14ac:dyDescent="0.3">
      <c r="A1" s="107" t="s">
        <v>135</v>
      </c>
      <c r="B1" s="108"/>
    </row>
    <row r="2" spans="1:13" x14ac:dyDescent="0.3">
      <c r="A2" s="1" t="s">
        <v>0</v>
      </c>
    </row>
    <row r="3" spans="1:13" x14ac:dyDescent="0.3">
      <c r="A3" s="1"/>
    </row>
    <row r="4" spans="1:13" x14ac:dyDescent="0.3">
      <c r="A4" s="1"/>
    </row>
    <row r="5" spans="1:13" x14ac:dyDescent="0.3">
      <c r="A5" s="153" t="str">
        <f>A8</f>
        <v xml:space="preserve">Tabell 3-12 - Aktiviteter for psykisk utviklingshemmede i regi av bydelen - inkl. plasser kjøpt fra andre - pr. 31.12  *) </v>
      </c>
    </row>
    <row r="6" spans="1:13" x14ac:dyDescent="0.3">
      <c r="A6" s="1"/>
    </row>
    <row r="8" spans="1:13" s="8" customFormat="1" ht="30" customHeight="1" thickBot="1" x14ac:dyDescent="0.35">
      <c r="A8" s="7" t="s">
        <v>241</v>
      </c>
      <c r="H8" s="48"/>
    </row>
    <row r="9" spans="1:13" s="84" customFormat="1" ht="12" thickBot="1" x14ac:dyDescent="0.35">
      <c r="A9" s="9"/>
      <c r="B9" s="54"/>
      <c r="C9" s="12"/>
      <c r="D9" s="1708" t="s">
        <v>242</v>
      </c>
      <c r="E9" s="1708"/>
      <c r="F9" s="1708"/>
      <c r="G9" s="1708"/>
      <c r="H9" s="1708"/>
    </row>
    <row r="10" spans="1:13" s="84" customFormat="1" ht="35.15" thickBot="1" x14ac:dyDescent="0.35">
      <c r="A10" s="1036" t="s">
        <v>2</v>
      </c>
      <c r="B10" s="1046" t="s">
        <v>3</v>
      </c>
      <c r="C10" s="1042" t="s">
        <v>243</v>
      </c>
      <c r="D10" s="32" t="s">
        <v>244</v>
      </c>
      <c r="E10" s="35" t="s">
        <v>245</v>
      </c>
      <c r="F10" s="35" t="s">
        <v>246</v>
      </c>
      <c r="G10" s="35" t="s">
        <v>247</v>
      </c>
      <c r="H10" s="15" t="s">
        <v>248</v>
      </c>
    </row>
    <row r="11" spans="1:13" x14ac:dyDescent="0.3">
      <c r="A11" s="1037">
        <v>1</v>
      </c>
      <c r="B11" s="1047" t="s">
        <v>14</v>
      </c>
      <c r="C11" s="1224">
        <v>81</v>
      </c>
      <c r="D11" s="1222">
        <v>36</v>
      </c>
      <c r="E11" s="154">
        <v>2</v>
      </c>
      <c r="F11" s="154">
        <v>13</v>
      </c>
      <c r="G11" s="151">
        <v>30</v>
      </c>
      <c r="H11" s="155">
        <f t="shared" ref="H11:H25" si="0">SUM(D11:G11)</f>
        <v>81</v>
      </c>
      <c r="I11" s="22"/>
    </row>
    <row r="12" spans="1:13" ht="12.45" x14ac:dyDescent="0.3">
      <c r="A12" s="1038">
        <v>2</v>
      </c>
      <c r="B12" s="1048" t="s">
        <v>15</v>
      </c>
      <c r="C12" s="1225">
        <v>82</v>
      </c>
      <c r="D12" s="1044">
        <v>41</v>
      </c>
      <c r="E12" s="686">
        <v>5</v>
      </c>
      <c r="F12" s="686">
        <v>15</v>
      </c>
      <c r="G12" s="822">
        <v>22</v>
      </c>
      <c r="H12" s="157">
        <f t="shared" si="0"/>
        <v>83</v>
      </c>
      <c r="I12" s="22"/>
      <c r="M12" s="1220"/>
    </row>
    <row r="13" spans="1:13" ht="12.45" x14ac:dyDescent="0.3">
      <c r="A13" s="1038">
        <v>3</v>
      </c>
      <c r="B13" s="1048" t="s">
        <v>16</v>
      </c>
      <c r="C13" s="1225">
        <v>89</v>
      </c>
      <c r="D13" s="1044">
        <v>42</v>
      </c>
      <c r="E13" s="686">
        <v>1</v>
      </c>
      <c r="F13" s="686">
        <v>15</v>
      </c>
      <c r="G13" s="822">
        <v>24</v>
      </c>
      <c r="H13" s="157">
        <f t="shared" si="0"/>
        <v>82</v>
      </c>
      <c r="I13" s="22"/>
      <c r="M13" s="1220"/>
    </row>
    <row r="14" spans="1:13" ht="12.45" x14ac:dyDescent="0.3">
      <c r="A14" s="1038">
        <v>4</v>
      </c>
      <c r="B14" s="1048" t="s">
        <v>17</v>
      </c>
      <c r="C14" s="1225">
        <v>15</v>
      </c>
      <c r="D14" s="1044">
        <v>15</v>
      </c>
      <c r="E14" s="686">
        <v>1</v>
      </c>
      <c r="F14" s="686">
        <v>0</v>
      </c>
      <c r="G14" s="822">
        <v>1</v>
      </c>
      <c r="H14" s="157">
        <f t="shared" si="0"/>
        <v>17</v>
      </c>
      <c r="I14" s="22"/>
      <c r="M14" s="1220"/>
    </row>
    <row r="15" spans="1:13" ht="12.45" x14ac:dyDescent="0.3">
      <c r="A15" s="1038">
        <v>5</v>
      </c>
      <c r="B15" s="1048" t="s">
        <v>18</v>
      </c>
      <c r="C15" s="1225">
        <v>54</v>
      </c>
      <c r="D15" s="1044">
        <v>15</v>
      </c>
      <c r="E15" s="686">
        <v>1</v>
      </c>
      <c r="F15" s="686">
        <v>12</v>
      </c>
      <c r="G15" s="822">
        <v>31</v>
      </c>
      <c r="H15" s="157">
        <f t="shared" si="0"/>
        <v>59</v>
      </c>
      <c r="I15" s="22"/>
      <c r="M15" s="1220"/>
    </row>
    <row r="16" spans="1:13" ht="12.45" x14ac:dyDescent="0.3">
      <c r="A16" s="1039">
        <v>6</v>
      </c>
      <c r="B16" s="1049" t="s">
        <v>464</v>
      </c>
      <c r="C16" s="1225">
        <v>21</v>
      </c>
      <c r="D16" s="1044">
        <v>11</v>
      </c>
      <c r="E16" s="686">
        <v>2</v>
      </c>
      <c r="F16" s="686">
        <v>13</v>
      </c>
      <c r="G16" s="822">
        <v>43</v>
      </c>
      <c r="H16" s="157">
        <f t="shared" si="0"/>
        <v>69</v>
      </c>
      <c r="I16" s="22"/>
      <c r="M16" s="1220"/>
    </row>
    <row r="17" spans="1:19" ht="12.45" x14ac:dyDescent="0.3">
      <c r="A17" s="1039">
        <v>7</v>
      </c>
      <c r="B17" s="1049" t="s">
        <v>20</v>
      </c>
      <c r="C17" s="1225">
        <v>128</v>
      </c>
      <c r="D17" s="1044">
        <v>33</v>
      </c>
      <c r="E17" s="686">
        <v>0</v>
      </c>
      <c r="F17" s="686">
        <v>25</v>
      </c>
      <c r="G17" s="822">
        <v>66</v>
      </c>
      <c r="H17" s="157">
        <f t="shared" si="0"/>
        <v>124</v>
      </c>
      <c r="I17" s="22"/>
      <c r="M17" s="1220"/>
    </row>
    <row r="18" spans="1:19" ht="12.45" x14ac:dyDescent="0.3">
      <c r="A18" s="1038">
        <v>8</v>
      </c>
      <c r="B18" s="1048" t="s">
        <v>21</v>
      </c>
      <c r="C18" s="1225">
        <v>107</v>
      </c>
      <c r="D18" s="1044">
        <v>31</v>
      </c>
      <c r="E18" s="686">
        <v>1</v>
      </c>
      <c r="F18" s="686">
        <v>35</v>
      </c>
      <c r="G18" s="822">
        <v>43</v>
      </c>
      <c r="H18" s="157">
        <f t="shared" si="0"/>
        <v>110</v>
      </c>
      <c r="I18" s="22"/>
      <c r="M18" s="1220"/>
    </row>
    <row r="19" spans="1:19" x14ac:dyDescent="0.3">
      <c r="A19" s="1038">
        <v>9</v>
      </c>
      <c r="B19" s="1048" t="s">
        <v>22</v>
      </c>
      <c r="C19" s="1225">
        <v>90</v>
      </c>
      <c r="D19" s="1044">
        <v>26</v>
      </c>
      <c r="E19" s="686">
        <v>0</v>
      </c>
      <c r="F19" s="686">
        <v>5</v>
      </c>
      <c r="G19" s="822">
        <v>63</v>
      </c>
      <c r="H19" s="157">
        <f t="shared" si="0"/>
        <v>94</v>
      </c>
      <c r="I19" s="22"/>
    </row>
    <row r="20" spans="1:19" x14ac:dyDescent="0.3">
      <c r="A20" s="1038">
        <v>10</v>
      </c>
      <c r="B20" s="1048" t="s">
        <v>23</v>
      </c>
      <c r="C20" s="1225">
        <v>115</v>
      </c>
      <c r="D20" s="1044">
        <v>47</v>
      </c>
      <c r="E20" s="686">
        <v>4</v>
      </c>
      <c r="F20" s="686">
        <v>20</v>
      </c>
      <c r="G20" s="822">
        <v>60</v>
      </c>
      <c r="H20" s="157">
        <f t="shared" si="0"/>
        <v>131</v>
      </c>
      <c r="I20" s="22"/>
    </row>
    <row r="21" spans="1:19" x14ac:dyDescent="0.3">
      <c r="A21" s="1039">
        <v>11</v>
      </c>
      <c r="B21" s="1049" t="s">
        <v>24</v>
      </c>
      <c r="C21" s="1225">
        <v>141</v>
      </c>
      <c r="D21" s="1044">
        <v>23</v>
      </c>
      <c r="E21" s="686">
        <v>2</v>
      </c>
      <c r="F21" s="686">
        <v>9</v>
      </c>
      <c r="G21" s="822">
        <v>93</v>
      </c>
      <c r="H21" s="157">
        <f t="shared" si="0"/>
        <v>127</v>
      </c>
      <c r="I21" s="22"/>
    </row>
    <row r="22" spans="1:19" x14ac:dyDescent="0.3">
      <c r="A22" s="1038">
        <v>12</v>
      </c>
      <c r="B22" s="1048" t="s">
        <v>25</v>
      </c>
      <c r="C22" s="1225">
        <f>'[3]MALT3-2019A.XLS'!$G$873</f>
        <v>149</v>
      </c>
      <c r="D22" s="1044">
        <f>'[3]MALT3-2019A.XLS'!$G$875</f>
        <v>54</v>
      </c>
      <c r="E22" s="686">
        <f>'[3]MALT3-2019A.XLS'!$G$876</f>
        <v>10</v>
      </c>
      <c r="F22" s="686">
        <f>'[3]MALT3-2019A.XLS'!$G$877</f>
        <v>21</v>
      </c>
      <c r="G22" s="822">
        <f>'[3]MALT3-2019A.XLS'!$G$878</f>
        <v>64</v>
      </c>
      <c r="H22" s="157">
        <f>'[3]MALT3-2019A.XLS'!$G$879</f>
        <v>149</v>
      </c>
      <c r="I22" s="22"/>
      <c r="L22" s="2" t="s">
        <v>108</v>
      </c>
      <c r="S22" s="2" t="s">
        <v>108</v>
      </c>
    </row>
    <row r="23" spans="1:19" s="413" customFormat="1" x14ac:dyDescent="0.3">
      <c r="A23" s="1039">
        <v>13</v>
      </c>
      <c r="B23" s="1049" t="s">
        <v>26</v>
      </c>
      <c r="C23" s="1225">
        <v>124</v>
      </c>
      <c r="D23" s="1044">
        <v>19</v>
      </c>
      <c r="E23" s="686">
        <v>8</v>
      </c>
      <c r="F23" s="686">
        <v>6</v>
      </c>
      <c r="G23" s="822">
        <v>87</v>
      </c>
      <c r="H23" s="157">
        <f t="shared" si="0"/>
        <v>120</v>
      </c>
      <c r="I23" s="362"/>
    </row>
    <row r="24" spans="1:19" x14ac:dyDescent="0.3">
      <c r="A24" s="1038">
        <v>14</v>
      </c>
      <c r="B24" s="1048" t="s">
        <v>27</v>
      </c>
      <c r="C24" s="1225">
        <v>133</v>
      </c>
      <c r="D24" s="1044">
        <v>27</v>
      </c>
      <c r="E24" s="686">
        <v>1</v>
      </c>
      <c r="F24" s="686">
        <v>18</v>
      </c>
      <c r="G24" s="822">
        <v>81</v>
      </c>
      <c r="H24" s="157">
        <f t="shared" si="0"/>
        <v>127</v>
      </c>
      <c r="I24" s="22"/>
    </row>
    <row r="25" spans="1:19" ht="12" thickBot="1" x14ac:dyDescent="0.35">
      <c r="A25" s="1040">
        <v>15</v>
      </c>
      <c r="B25" s="1050" t="s">
        <v>28</v>
      </c>
      <c r="C25" s="1226">
        <v>163</v>
      </c>
      <c r="D25" s="1223">
        <v>62</v>
      </c>
      <c r="E25" s="1034">
        <v>4</v>
      </c>
      <c r="F25" s="1034">
        <v>37</v>
      </c>
      <c r="G25" s="1035">
        <v>50</v>
      </c>
      <c r="H25" s="158">
        <f t="shared" si="0"/>
        <v>153</v>
      </c>
      <c r="I25" s="22"/>
      <c r="J25" s="2" t="s">
        <v>108</v>
      </c>
    </row>
    <row r="26" spans="1:19" s="413" customFormat="1" x14ac:dyDescent="0.3">
      <c r="A26" s="1041"/>
      <c r="B26" s="1051" t="s">
        <v>541</v>
      </c>
      <c r="C26" s="1043">
        <f t="shared" ref="C26:H26" si="1">SUM(C11:C25)</f>
        <v>1492</v>
      </c>
      <c r="D26" s="536">
        <f t="shared" si="1"/>
        <v>482</v>
      </c>
      <c r="E26" s="536">
        <f t="shared" si="1"/>
        <v>42</v>
      </c>
      <c r="F26" s="536">
        <f t="shared" si="1"/>
        <v>244</v>
      </c>
      <c r="G26" s="536">
        <f t="shared" si="1"/>
        <v>758</v>
      </c>
      <c r="H26" s="537">
        <f t="shared" si="1"/>
        <v>1526</v>
      </c>
      <c r="I26" s="362"/>
    </row>
    <row r="27" spans="1:19" s="413" customFormat="1" x14ac:dyDescent="0.3">
      <c r="A27" s="357"/>
      <c r="B27" s="1052" t="s">
        <v>463</v>
      </c>
      <c r="C27" s="1044">
        <v>1531</v>
      </c>
      <c r="D27" s="686">
        <v>482</v>
      </c>
      <c r="E27" s="686">
        <v>41</v>
      </c>
      <c r="F27" s="686">
        <v>247</v>
      </c>
      <c r="G27" s="686">
        <v>758</v>
      </c>
      <c r="H27" s="687">
        <v>1528</v>
      </c>
      <c r="I27" s="362"/>
    </row>
    <row r="28" spans="1:19" s="413" customFormat="1" x14ac:dyDescent="0.3">
      <c r="A28" s="357"/>
      <c r="B28" s="1052" t="s">
        <v>415</v>
      </c>
      <c r="C28" s="1044">
        <v>1449</v>
      </c>
      <c r="D28" s="686">
        <v>447</v>
      </c>
      <c r="E28" s="686">
        <v>50</v>
      </c>
      <c r="F28" s="686">
        <v>228</v>
      </c>
      <c r="G28" s="686">
        <v>724</v>
      </c>
      <c r="H28" s="687">
        <v>1449</v>
      </c>
      <c r="I28" s="362"/>
    </row>
    <row r="29" spans="1:19" s="413" customFormat="1" x14ac:dyDescent="0.3">
      <c r="A29" s="357"/>
      <c r="B29" s="1052" t="s">
        <v>367</v>
      </c>
      <c r="C29" s="1044">
        <v>1441</v>
      </c>
      <c r="D29" s="686">
        <v>486</v>
      </c>
      <c r="E29" s="686">
        <v>59</v>
      </c>
      <c r="F29" s="686">
        <v>216</v>
      </c>
      <c r="G29" s="686">
        <v>682</v>
      </c>
      <c r="H29" s="687">
        <v>1443</v>
      </c>
      <c r="I29" s="362"/>
    </row>
    <row r="30" spans="1:19" s="413" customFormat="1" x14ac:dyDescent="0.3">
      <c r="A30" s="357"/>
      <c r="B30" s="1052" t="s">
        <v>334</v>
      </c>
      <c r="C30" s="1044">
        <v>1399</v>
      </c>
      <c r="D30" s="686">
        <v>416</v>
      </c>
      <c r="E30" s="686">
        <v>51</v>
      </c>
      <c r="F30" s="686">
        <v>240</v>
      </c>
      <c r="G30" s="686">
        <v>692</v>
      </c>
      <c r="H30" s="687">
        <v>1399</v>
      </c>
      <c r="I30" s="362"/>
    </row>
    <row r="31" spans="1:19" s="413" customFormat="1" x14ac:dyDescent="0.3">
      <c r="A31" s="357"/>
      <c r="B31" s="1052" t="s">
        <v>300</v>
      </c>
      <c r="C31" s="1044">
        <v>1344</v>
      </c>
      <c r="D31" s="686">
        <v>366</v>
      </c>
      <c r="E31" s="686">
        <v>54</v>
      </c>
      <c r="F31" s="686">
        <v>240</v>
      </c>
      <c r="G31" s="686">
        <v>684</v>
      </c>
      <c r="H31" s="687">
        <v>1344</v>
      </c>
      <c r="I31" s="362"/>
    </row>
    <row r="32" spans="1:19" s="413" customFormat="1" ht="12" thickBot="1" x14ac:dyDescent="0.35">
      <c r="A32" s="124"/>
      <c r="B32" s="1053" t="s">
        <v>155</v>
      </c>
      <c r="C32" s="1045">
        <v>1206</v>
      </c>
      <c r="D32" s="535">
        <v>295</v>
      </c>
      <c r="E32" s="535">
        <v>52</v>
      </c>
      <c r="F32" s="535">
        <v>210</v>
      </c>
      <c r="G32" s="535">
        <v>649</v>
      </c>
      <c r="H32" s="538">
        <v>1206</v>
      </c>
      <c r="I32" s="362"/>
    </row>
    <row r="33" spans="1:1" x14ac:dyDescent="0.3">
      <c r="A33" s="1" t="s">
        <v>465</v>
      </c>
    </row>
  </sheetData>
  <mergeCells count="1">
    <mergeCell ref="D9:H9"/>
  </mergeCells>
  <pageMargins left="0.7" right="0.7" top="0.75" bottom="0.75" header="0.3" footer="0.3"/>
  <pageSetup paperSize="9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2">
    <tabColor rgb="FFFF0000"/>
  </sheetPr>
  <dimension ref="A1:S157"/>
  <sheetViews>
    <sheetView showGridLines="0" zoomScaleNormal="100" workbookViewId="0">
      <selection activeCell="I13" sqref="I13"/>
    </sheetView>
  </sheetViews>
  <sheetFormatPr baseColWidth="10" defaultColWidth="11.4609375" defaultRowHeight="11.6" x14ac:dyDescent="0.3"/>
  <cols>
    <col min="1" max="1" width="6.07421875" style="5" bestFit="1" customWidth="1"/>
    <col min="2" max="2" width="22" style="2" bestFit="1" customWidth="1"/>
    <col min="3" max="3" width="9" style="2" customWidth="1"/>
    <col min="4" max="4" width="8.3046875" style="2" customWidth="1"/>
    <col min="5" max="5" width="10.4609375" style="2" customWidth="1"/>
    <col min="6" max="6" width="10.3046875" style="2" customWidth="1"/>
    <col min="7" max="8" width="11" style="2" customWidth="1"/>
    <col min="9" max="9" width="6.4609375" style="2" customWidth="1"/>
    <col min="10" max="10" width="7.07421875" style="2" customWidth="1"/>
    <col min="11" max="11" width="6.07421875" style="5" bestFit="1" customWidth="1"/>
    <col min="12" max="12" width="22" style="2" bestFit="1" customWidth="1"/>
    <col min="13" max="13" width="7.69140625" style="2" customWidth="1"/>
    <col min="14" max="17" width="7.53515625" style="2" customWidth="1"/>
    <col min="18" max="18" width="7.84375" style="2" customWidth="1"/>
    <col min="19" max="19" width="11.4609375" style="2" customWidth="1"/>
    <col min="20" max="16384" width="11.4609375" style="2"/>
  </cols>
  <sheetData>
    <row r="1" spans="1:19" x14ac:dyDescent="0.3">
      <c r="A1" s="107" t="s">
        <v>135</v>
      </c>
      <c r="B1" s="107"/>
    </row>
    <row r="2" spans="1:19" x14ac:dyDescent="0.3">
      <c r="A2" s="1" t="s">
        <v>0</v>
      </c>
      <c r="K2" s="1" t="s">
        <v>0</v>
      </c>
    </row>
    <row r="3" spans="1:19" x14ac:dyDescent="0.3">
      <c r="A3" s="1"/>
      <c r="K3" s="1"/>
    </row>
    <row r="4" spans="1:19" x14ac:dyDescent="0.3">
      <c r="A4" s="1" t="str">
        <f>A8</f>
        <v>Tabell 3 -14 - A1 -  Eldresentre - personell og årsverk pr. 31.12.</v>
      </c>
      <c r="K4" s="1" t="str">
        <f>K8</f>
        <v>Tabell 3 -14 - A2 -  Eldresentre - brukere pr. 31.12.</v>
      </c>
    </row>
    <row r="5" spans="1:19" x14ac:dyDescent="0.3">
      <c r="A5" s="1" t="str">
        <f>K8</f>
        <v>Tabell 3 -14 - A2 -  Eldresentre - brukere pr. 31.12.</v>
      </c>
      <c r="K5" s="1"/>
    </row>
    <row r="6" spans="1:19" x14ac:dyDescent="0.3">
      <c r="A6" s="1"/>
      <c r="K6" s="1"/>
    </row>
    <row r="7" spans="1:19" x14ac:dyDescent="0.3">
      <c r="K7" s="118"/>
    </row>
    <row r="8" spans="1:19" s="8" customFormat="1" ht="12.9" thickBot="1" x14ac:dyDescent="0.35">
      <c r="A8" s="7" t="s">
        <v>249</v>
      </c>
      <c r="K8" s="7" t="s">
        <v>250</v>
      </c>
      <c r="M8" s="169" t="s">
        <v>323</v>
      </c>
    </row>
    <row r="9" spans="1:19" s="84" customFormat="1" ht="12" thickBot="1" x14ac:dyDescent="0.35">
      <c r="A9" s="9"/>
      <c r="B9" s="10"/>
      <c r="C9" s="1708" t="s">
        <v>233</v>
      </c>
      <c r="D9" s="1708"/>
      <c r="E9" s="1708" t="s">
        <v>251</v>
      </c>
      <c r="F9" s="1708"/>
      <c r="G9" s="1710"/>
      <c r="H9" s="1212"/>
      <c r="I9" s="40"/>
      <c r="K9" s="9"/>
      <c r="L9" s="10"/>
      <c r="M9" s="1708" t="s">
        <v>252</v>
      </c>
      <c r="N9" s="1708"/>
      <c r="O9" s="1708"/>
      <c r="P9" s="1708"/>
      <c r="Q9" s="1708"/>
      <c r="R9" s="1708"/>
    </row>
    <row r="10" spans="1:19" s="84" customFormat="1" ht="23.6" thickBot="1" x14ac:dyDescent="0.35">
      <c r="A10" s="13" t="s">
        <v>2</v>
      </c>
      <c r="B10" s="14" t="s">
        <v>3</v>
      </c>
      <c r="C10" s="13" t="s">
        <v>253</v>
      </c>
      <c r="D10" s="152" t="s">
        <v>254</v>
      </c>
      <c r="E10" s="34" t="s">
        <v>253</v>
      </c>
      <c r="F10" s="35" t="s">
        <v>254</v>
      </c>
      <c r="G10" s="33" t="s">
        <v>255</v>
      </c>
      <c r="H10" s="1211" t="s">
        <v>256</v>
      </c>
      <c r="I10" s="40"/>
      <c r="K10" s="13" t="s">
        <v>2</v>
      </c>
      <c r="L10" s="14" t="s">
        <v>3</v>
      </c>
      <c r="M10" s="34" t="s">
        <v>257</v>
      </c>
      <c r="N10" s="35" t="s">
        <v>258</v>
      </c>
      <c r="O10" s="34" t="s">
        <v>259</v>
      </c>
      <c r="P10" s="35" t="s">
        <v>260</v>
      </c>
      <c r="Q10" s="34" t="s">
        <v>261</v>
      </c>
      <c r="R10" s="33" t="s">
        <v>262</v>
      </c>
    </row>
    <row r="11" spans="1:19" ht="12.9" x14ac:dyDescent="0.35">
      <c r="A11" s="17">
        <v>1</v>
      </c>
      <c r="B11" s="18" t="s">
        <v>14</v>
      </c>
      <c r="C11" s="1589">
        <v>3</v>
      </c>
      <c r="D11" s="1561">
        <v>17</v>
      </c>
      <c r="E11" s="1566">
        <v>3.25</v>
      </c>
      <c r="F11" s="1561">
        <v>1.4</v>
      </c>
      <c r="G11" s="1586">
        <f t="shared" ref="G11:G25" si="0">SUM(E11:F11)</f>
        <v>4.6500000000000004</v>
      </c>
      <c r="H11" s="1586">
        <v>0</v>
      </c>
      <c r="I11" s="40"/>
      <c r="J11" s="84"/>
      <c r="K11" s="17">
        <v>1</v>
      </c>
      <c r="L11" s="18" t="s">
        <v>14</v>
      </c>
      <c r="M11" s="690" t="s">
        <v>211</v>
      </c>
      <c r="N11" s="691" t="s">
        <v>187</v>
      </c>
      <c r="O11" s="691" t="s">
        <v>187</v>
      </c>
      <c r="P11" s="691">
        <v>0</v>
      </c>
      <c r="Q11" s="691">
        <v>0</v>
      </c>
      <c r="R11" s="692">
        <v>0</v>
      </c>
      <c r="S11" s="22"/>
    </row>
    <row r="12" spans="1:19" ht="12.9" x14ac:dyDescent="0.35">
      <c r="A12" s="23">
        <v>2</v>
      </c>
      <c r="B12" s="24" t="s">
        <v>15</v>
      </c>
      <c r="C12" s="1590">
        <v>18</v>
      </c>
      <c r="D12" s="1563">
        <v>141</v>
      </c>
      <c r="E12" s="1567">
        <v>16.7</v>
      </c>
      <c r="F12" s="1563">
        <v>16.5</v>
      </c>
      <c r="G12" s="1587">
        <f t="shared" si="0"/>
        <v>33.200000000000003</v>
      </c>
      <c r="H12" s="1587">
        <v>16.7</v>
      </c>
      <c r="I12" s="40"/>
      <c r="J12" s="84"/>
      <c r="K12" s="23">
        <v>2</v>
      </c>
      <c r="L12" s="24" t="s">
        <v>15</v>
      </c>
      <c r="M12" s="693" t="s">
        <v>475</v>
      </c>
      <c r="N12" s="689" t="s">
        <v>187</v>
      </c>
      <c r="O12" s="689" t="s">
        <v>187</v>
      </c>
      <c r="P12" s="689">
        <v>0</v>
      </c>
      <c r="Q12" s="689">
        <v>0</v>
      </c>
      <c r="R12" s="694">
        <v>0</v>
      </c>
      <c r="S12" s="22"/>
    </row>
    <row r="13" spans="1:19" ht="12.9" x14ac:dyDescent="0.35">
      <c r="A13" s="23">
        <v>3</v>
      </c>
      <c r="B13" s="24" t="s">
        <v>16</v>
      </c>
      <c r="C13" s="1590">
        <v>10</v>
      </c>
      <c r="D13" s="1563">
        <v>60</v>
      </c>
      <c r="E13" s="1567">
        <v>9.5</v>
      </c>
      <c r="F13" s="1563">
        <v>6</v>
      </c>
      <c r="G13" s="1587">
        <f t="shared" si="0"/>
        <v>15.5</v>
      </c>
      <c r="H13" s="1587">
        <v>9.5</v>
      </c>
      <c r="I13" s="40"/>
      <c r="J13" s="84"/>
      <c r="K13" s="23">
        <v>3</v>
      </c>
      <c r="L13" s="24" t="s">
        <v>16</v>
      </c>
      <c r="M13" s="693" t="s">
        <v>475</v>
      </c>
      <c r="N13" s="689">
        <v>0</v>
      </c>
      <c r="O13" s="689">
        <v>0</v>
      </c>
      <c r="P13" s="689">
        <v>0</v>
      </c>
      <c r="Q13" s="689">
        <v>0</v>
      </c>
      <c r="R13" s="694">
        <v>0</v>
      </c>
      <c r="S13" s="22"/>
    </row>
    <row r="14" spans="1:19" ht="12.9" x14ac:dyDescent="0.35">
      <c r="A14" s="23">
        <v>4</v>
      </c>
      <c r="B14" s="24" t="s">
        <v>17</v>
      </c>
      <c r="C14" s="1590">
        <v>4</v>
      </c>
      <c r="D14" s="1563">
        <v>52</v>
      </c>
      <c r="E14" s="1567">
        <v>4</v>
      </c>
      <c r="F14" s="1563">
        <v>5</v>
      </c>
      <c r="G14" s="1587">
        <f t="shared" si="0"/>
        <v>9</v>
      </c>
      <c r="H14" s="1587">
        <v>4</v>
      </c>
      <c r="I14" s="40"/>
      <c r="J14" s="84"/>
      <c r="K14" s="23">
        <v>4</v>
      </c>
      <c r="L14" s="24" t="s">
        <v>17</v>
      </c>
      <c r="M14" s="693" t="s">
        <v>187</v>
      </c>
      <c r="N14" s="689">
        <v>0</v>
      </c>
      <c r="O14" s="689">
        <v>0</v>
      </c>
      <c r="P14" s="689">
        <v>0</v>
      </c>
      <c r="Q14" s="689">
        <v>0</v>
      </c>
      <c r="R14" s="694">
        <v>0</v>
      </c>
      <c r="S14" s="22"/>
    </row>
    <row r="15" spans="1:19" ht="12.9" x14ac:dyDescent="0.35">
      <c r="A15" s="23">
        <v>5</v>
      </c>
      <c r="B15" s="24" t="s">
        <v>18</v>
      </c>
      <c r="C15" s="1590">
        <v>9</v>
      </c>
      <c r="D15" s="1563">
        <v>0</v>
      </c>
      <c r="E15" s="1567">
        <v>9</v>
      </c>
      <c r="F15" s="1563">
        <v>0</v>
      </c>
      <c r="G15" s="1587">
        <f t="shared" si="0"/>
        <v>9</v>
      </c>
      <c r="H15" s="1587">
        <v>9</v>
      </c>
      <c r="I15" s="40"/>
      <c r="J15" s="84"/>
      <c r="K15" s="23">
        <v>5</v>
      </c>
      <c r="L15" s="24" t="s">
        <v>18</v>
      </c>
      <c r="M15" s="693">
        <v>0</v>
      </c>
      <c r="N15" s="689" t="s">
        <v>187</v>
      </c>
      <c r="O15" s="689" t="s">
        <v>187</v>
      </c>
      <c r="P15" s="689">
        <v>0</v>
      </c>
      <c r="Q15" s="689">
        <v>0</v>
      </c>
      <c r="R15" s="694">
        <v>0</v>
      </c>
      <c r="S15" s="22"/>
    </row>
    <row r="16" spans="1:19" ht="12.9" x14ac:dyDescent="0.35">
      <c r="A16" s="25">
        <v>6</v>
      </c>
      <c r="B16" s="26" t="s">
        <v>19</v>
      </c>
      <c r="C16" s="1590">
        <v>6</v>
      </c>
      <c r="D16" s="1563">
        <v>55</v>
      </c>
      <c r="E16" s="1567">
        <v>5</v>
      </c>
      <c r="F16" s="1563">
        <v>4.5</v>
      </c>
      <c r="G16" s="1587">
        <f t="shared" si="0"/>
        <v>9.5</v>
      </c>
      <c r="H16" s="1587">
        <v>5</v>
      </c>
      <c r="I16" s="40"/>
      <c r="J16" s="84"/>
      <c r="K16" s="25">
        <v>6</v>
      </c>
      <c r="L16" s="26" t="s">
        <v>19</v>
      </c>
      <c r="M16" s="693" t="s">
        <v>434</v>
      </c>
      <c r="N16" s="689" t="s">
        <v>434</v>
      </c>
      <c r="O16" s="689">
        <v>0</v>
      </c>
      <c r="P16" s="689">
        <v>0</v>
      </c>
      <c r="Q16" s="689">
        <v>0</v>
      </c>
      <c r="R16" s="694">
        <v>0</v>
      </c>
      <c r="S16" s="22"/>
    </row>
    <row r="17" spans="1:19" ht="12.9" x14ac:dyDescent="0.35">
      <c r="A17" s="25">
        <v>7</v>
      </c>
      <c r="B17" s="26" t="s">
        <v>20</v>
      </c>
      <c r="C17" s="1590">
        <v>10</v>
      </c>
      <c r="D17" s="1563">
        <v>98</v>
      </c>
      <c r="E17" s="1567">
        <v>9.8000000000000007</v>
      </c>
      <c r="F17" s="1563">
        <v>8.6999999999999993</v>
      </c>
      <c r="G17" s="1587">
        <f t="shared" si="0"/>
        <v>18.5</v>
      </c>
      <c r="H17" s="1587">
        <v>9.8000000000000007</v>
      </c>
      <c r="I17" s="40"/>
      <c r="J17" s="84"/>
      <c r="K17" s="25">
        <v>7</v>
      </c>
      <c r="L17" s="26" t="s">
        <v>20</v>
      </c>
      <c r="M17" s="693">
        <v>0</v>
      </c>
      <c r="N17" s="689" t="s">
        <v>187</v>
      </c>
      <c r="O17" s="689">
        <v>0</v>
      </c>
      <c r="P17" s="689">
        <v>0</v>
      </c>
      <c r="Q17" s="689">
        <v>0</v>
      </c>
      <c r="R17" s="694">
        <v>0</v>
      </c>
      <c r="S17" s="22"/>
    </row>
    <row r="18" spans="1:19" ht="12.9" x14ac:dyDescent="0.35">
      <c r="A18" s="23">
        <v>8</v>
      </c>
      <c r="B18" s="24" t="s">
        <v>21</v>
      </c>
      <c r="C18" s="1590">
        <v>9</v>
      </c>
      <c r="D18" s="1563">
        <v>100</v>
      </c>
      <c r="E18" s="1567">
        <v>8.5</v>
      </c>
      <c r="F18" s="1563">
        <v>11.05</v>
      </c>
      <c r="G18" s="1587">
        <f t="shared" si="0"/>
        <v>19.55</v>
      </c>
      <c r="H18" s="1587">
        <v>9</v>
      </c>
      <c r="I18" s="40"/>
      <c r="J18" s="84"/>
      <c r="K18" s="23">
        <v>8</v>
      </c>
      <c r="L18" s="24" t="s">
        <v>21</v>
      </c>
      <c r="M18" s="693" t="s">
        <v>187</v>
      </c>
      <c r="N18" s="689" t="s">
        <v>187</v>
      </c>
      <c r="O18" s="689" t="s">
        <v>187</v>
      </c>
      <c r="P18" s="689">
        <v>0</v>
      </c>
      <c r="Q18" s="689">
        <v>0</v>
      </c>
      <c r="R18" s="694">
        <v>0</v>
      </c>
      <c r="S18" s="22"/>
    </row>
    <row r="19" spans="1:19" ht="12.9" x14ac:dyDescent="0.35">
      <c r="A19" s="23">
        <v>9</v>
      </c>
      <c r="B19" s="24" t="s">
        <v>22</v>
      </c>
      <c r="C19" s="1590">
        <v>1</v>
      </c>
      <c r="D19" s="1563">
        <v>4</v>
      </c>
      <c r="E19" s="1567">
        <v>0.5</v>
      </c>
      <c r="F19" s="1563">
        <v>0.25</v>
      </c>
      <c r="G19" s="1587">
        <f t="shared" si="0"/>
        <v>0.75</v>
      </c>
      <c r="H19" s="1587">
        <v>1</v>
      </c>
      <c r="I19" s="40"/>
      <c r="J19" s="84"/>
      <c r="K19" s="23">
        <v>9</v>
      </c>
      <c r="L19" s="24" t="s">
        <v>22</v>
      </c>
      <c r="M19" s="693" t="s">
        <v>211</v>
      </c>
      <c r="N19" s="689" t="s">
        <v>211</v>
      </c>
      <c r="O19" s="689" t="s">
        <v>211</v>
      </c>
      <c r="P19" s="689" t="s">
        <v>211</v>
      </c>
      <c r="Q19" s="689">
        <v>0</v>
      </c>
      <c r="R19" s="694">
        <v>0</v>
      </c>
      <c r="S19" s="445"/>
    </row>
    <row r="20" spans="1:19" ht="12.9" x14ac:dyDescent="0.35">
      <c r="A20" s="23">
        <v>10</v>
      </c>
      <c r="B20" s="24" t="s">
        <v>23</v>
      </c>
      <c r="C20" s="1590">
        <v>1</v>
      </c>
      <c r="D20" s="1563">
        <v>50</v>
      </c>
      <c r="E20" s="1567">
        <v>1</v>
      </c>
      <c r="F20" s="1563">
        <v>4.5</v>
      </c>
      <c r="G20" s="1587">
        <f t="shared" si="0"/>
        <v>5.5</v>
      </c>
      <c r="H20" s="1587">
        <v>1</v>
      </c>
      <c r="I20" s="40"/>
      <c r="J20" s="84"/>
      <c r="K20" s="23">
        <v>10</v>
      </c>
      <c r="L20" s="24" t="s">
        <v>23</v>
      </c>
      <c r="M20" s="693" t="s">
        <v>187</v>
      </c>
      <c r="N20" s="689">
        <v>0</v>
      </c>
      <c r="O20" s="689">
        <v>0</v>
      </c>
      <c r="P20" s="689">
        <v>0</v>
      </c>
      <c r="Q20" s="689">
        <v>0</v>
      </c>
      <c r="R20" s="694">
        <v>0</v>
      </c>
      <c r="S20" s="22" t="s">
        <v>108</v>
      </c>
    </row>
    <row r="21" spans="1:19" ht="12.9" x14ac:dyDescent="0.35">
      <c r="A21" s="25">
        <v>11</v>
      </c>
      <c r="B21" s="26" t="s">
        <v>24</v>
      </c>
      <c r="C21" s="1590">
        <v>4.5999999999999996</v>
      </c>
      <c r="D21" s="1563">
        <v>47</v>
      </c>
      <c r="E21" s="1567">
        <v>5</v>
      </c>
      <c r="F21" s="1563">
        <v>0</v>
      </c>
      <c r="G21" s="1587">
        <f t="shared" si="0"/>
        <v>5</v>
      </c>
      <c r="H21" s="1587">
        <v>6</v>
      </c>
      <c r="I21" s="40"/>
      <c r="J21" s="84"/>
      <c r="K21" s="25">
        <v>11</v>
      </c>
      <c r="L21" s="26" t="s">
        <v>24</v>
      </c>
      <c r="M21" s="693" t="s">
        <v>187</v>
      </c>
      <c r="N21" s="689">
        <v>0</v>
      </c>
      <c r="O21" s="689">
        <v>0</v>
      </c>
      <c r="P21" s="689">
        <v>0</v>
      </c>
      <c r="Q21" s="689">
        <v>0</v>
      </c>
      <c r="R21" s="694">
        <v>0</v>
      </c>
      <c r="S21" s="22"/>
    </row>
    <row r="22" spans="1:19" ht="12.9" x14ac:dyDescent="0.35">
      <c r="A22" s="23">
        <v>12</v>
      </c>
      <c r="B22" s="24" t="s">
        <v>25</v>
      </c>
      <c r="C22" s="1590">
        <v>10</v>
      </c>
      <c r="D22" s="1563">
        <v>82</v>
      </c>
      <c r="E22" s="1567">
        <v>8.5</v>
      </c>
      <c r="F22" s="1563">
        <v>10.3</v>
      </c>
      <c r="G22" s="1587">
        <f t="shared" si="0"/>
        <v>18.8</v>
      </c>
      <c r="H22" s="1587">
        <v>8.5</v>
      </c>
      <c r="I22" s="40"/>
      <c r="J22" s="84"/>
      <c r="K22" s="23">
        <v>12</v>
      </c>
      <c r="L22" s="24" t="s">
        <v>25</v>
      </c>
      <c r="M22" s="693" t="s">
        <v>211</v>
      </c>
      <c r="N22" s="689" t="s">
        <v>211</v>
      </c>
      <c r="O22" s="689" t="s">
        <v>211</v>
      </c>
      <c r="P22" s="689">
        <v>0</v>
      </c>
      <c r="Q22" s="689">
        <v>0</v>
      </c>
      <c r="R22" s="694">
        <v>0</v>
      </c>
      <c r="S22" s="22"/>
    </row>
    <row r="23" spans="1:19" ht="12.9" x14ac:dyDescent="0.35">
      <c r="A23" s="23">
        <v>13</v>
      </c>
      <c r="B23" s="24" t="s">
        <v>26</v>
      </c>
      <c r="C23" s="1590">
        <v>26</v>
      </c>
      <c r="D23" s="1563">
        <v>195</v>
      </c>
      <c r="E23" s="1567">
        <v>20.5</v>
      </c>
      <c r="F23" s="1563">
        <v>0</v>
      </c>
      <c r="G23" s="1587">
        <f t="shared" si="0"/>
        <v>20.5</v>
      </c>
      <c r="H23" s="1587">
        <v>0</v>
      </c>
      <c r="I23" s="40"/>
      <c r="J23" s="84"/>
      <c r="K23" s="23">
        <v>13</v>
      </c>
      <c r="L23" s="24" t="s">
        <v>26</v>
      </c>
      <c r="M23" s="693" t="s">
        <v>211</v>
      </c>
      <c r="N23" s="689" t="s">
        <v>211</v>
      </c>
      <c r="O23" s="689" t="s">
        <v>211</v>
      </c>
      <c r="P23" s="689" t="s">
        <v>211</v>
      </c>
      <c r="Q23" s="689">
        <v>0</v>
      </c>
      <c r="R23" s="694">
        <v>0</v>
      </c>
      <c r="S23" s="22"/>
    </row>
    <row r="24" spans="1:19" ht="12.9" x14ac:dyDescent="0.35">
      <c r="A24" s="23">
        <v>14</v>
      </c>
      <c r="B24" s="24" t="s">
        <v>27</v>
      </c>
      <c r="C24" s="1590">
        <v>15</v>
      </c>
      <c r="D24" s="1563">
        <v>290</v>
      </c>
      <c r="E24" s="1567">
        <v>13.25</v>
      </c>
      <c r="F24" s="1563">
        <v>23.95</v>
      </c>
      <c r="G24" s="1587">
        <f t="shared" si="0"/>
        <v>37.200000000000003</v>
      </c>
      <c r="H24" s="1587">
        <v>13.25</v>
      </c>
      <c r="I24" s="40"/>
      <c r="J24" s="84" t="s">
        <v>108</v>
      </c>
      <c r="K24" s="23">
        <v>14</v>
      </c>
      <c r="L24" s="24" t="s">
        <v>27</v>
      </c>
      <c r="M24" s="693">
        <v>0</v>
      </c>
      <c r="N24" s="689" t="s">
        <v>187</v>
      </c>
      <c r="O24" s="689" t="s">
        <v>187</v>
      </c>
      <c r="P24" s="689" t="s">
        <v>187</v>
      </c>
      <c r="Q24" s="689" t="s">
        <v>187</v>
      </c>
      <c r="R24" s="694">
        <v>0</v>
      </c>
      <c r="S24" s="22"/>
    </row>
    <row r="25" spans="1:19" ht="13.3" thickBot="1" x14ac:dyDescent="0.4">
      <c r="A25" s="27">
        <v>15</v>
      </c>
      <c r="B25" s="28" t="s">
        <v>28</v>
      </c>
      <c r="C25" s="1591">
        <v>3</v>
      </c>
      <c r="D25" s="1565">
        <v>0</v>
      </c>
      <c r="E25" s="1568">
        <v>3</v>
      </c>
      <c r="F25" s="1565">
        <v>0</v>
      </c>
      <c r="G25" s="1588">
        <f t="shared" si="0"/>
        <v>3</v>
      </c>
      <c r="H25" s="1588">
        <v>37</v>
      </c>
      <c r="I25" s="40"/>
      <c r="J25" s="84"/>
      <c r="K25" s="27">
        <v>15</v>
      </c>
      <c r="L25" s="28" t="s">
        <v>28</v>
      </c>
      <c r="M25" s="695" t="s">
        <v>187</v>
      </c>
      <c r="N25" s="696">
        <v>0</v>
      </c>
      <c r="O25" s="696">
        <v>0</v>
      </c>
      <c r="P25" s="696">
        <v>0</v>
      </c>
      <c r="Q25" s="696">
        <v>0</v>
      </c>
      <c r="R25" s="697">
        <v>0</v>
      </c>
      <c r="S25" s="22"/>
    </row>
    <row r="26" spans="1:19" s="30" customFormat="1" ht="12.45" x14ac:dyDescent="0.3">
      <c r="A26" s="406"/>
      <c r="B26" s="404" t="s">
        <v>541</v>
      </c>
      <c r="C26" s="873">
        <f t="shared" ref="C26:H26" si="1">SUM(C11:C25)</f>
        <v>129.6</v>
      </c>
      <c r="D26" s="1581">
        <f t="shared" si="1"/>
        <v>1191</v>
      </c>
      <c r="E26" s="1582">
        <f t="shared" si="1"/>
        <v>117.5</v>
      </c>
      <c r="F26" s="1582">
        <f t="shared" si="1"/>
        <v>92.149999999999991</v>
      </c>
      <c r="G26" s="786">
        <f t="shared" si="1"/>
        <v>209.64999999999998</v>
      </c>
      <c r="H26" s="787">
        <f t="shared" si="1"/>
        <v>129.75</v>
      </c>
      <c r="I26" s="40"/>
      <c r="J26" s="84"/>
      <c r="K26" s="180"/>
      <c r="L26" s="977" t="s">
        <v>541</v>
      </c>
      <c r="M26" s="1583"/>
      <c r="N26" s="1584"/>
      <c r="O26" s="1584"/>
      <c r="P26" s="1584"/>
      <c r="Q26" s="1584"/>
      <c r="R26" s="1585"/>
      <c r="S26" s="44"/>
    </row>
    <row r="27" spans="1:19" s="413" customFormat="1" ht="12.9" x14ac:dyDescent="0.35">
      <c r="A27" s="416"/>
      <c r="B27" s="407" t="s">
        <v>463</v>
      </c>
      <c r="C27" s="686">
        <v>149.6</v>
      </c>
      <c r="D27" s="809">
        <v>1411</v>
      </c>
      <c r="E27" s="820">
        <v>129.89999999999998</v>
      </c>
      <c r="F27" s="820">
        <v>148.88999999999999</v>
      </c>
      <c r="G27" s="820">
        <v>278.78999999999996</v>
      </c>
      <c r="H27" s="821">
        <v>116.95</v>
      </c>
      <c r="I27" s="5"/>
      <c r="J27" s="534"/>
      <c r="K27" s="71"/>
      <c r="L27" s="26" t="s">
        <v>463</v>
      </c>
      <c r="M27" s="1208"/>
      <c r="N27" s="1209"/>
      <c r="O27" s="1209"/>
      <c r="P27" s="1209"/>
      <c r="Q27" s="1209"/>
      <c r="R27" s="1210"/>
      <c r="S27" s="362"/>
    </row>
    <row r="28" spans="1:19" s="413" customFormat="1" ht="12.9" x14ac:dyDescent="0.35">
      <c r="A28" s="416"/>
      <c r="B28" s="407" t="s">
        <v>415</v>
      </c>
      <c r="C28" s="686">
        <v>156.04</v>
      </c>
      <c r="D28" s="809">
        <v>2365</v>
      </c>
      <c r="E28" s="820">
        <v>122.55</v>
      </c>
      <c r="F28" s="820">
        <v>129.85000000000002</v>
      </c>
      <c r="G28" s="820">
        <v>252.4</v>
      </c>
      <c r="H28" s="821">
        <v>106.6</v>
      </c>
      <c r="I28" s="5"/>
      <c r="J28" s="534"/>
      <c r="K28" s="71"/>
      <c r="L28" s="26" t="s">
        <v>415</v>
      </c>
      <c r="M28" s="1208"/>
      <c r="N28" s="1209"/>
      <c r="O28" s="1209"/>
      <c r="P28" s="1209"/>
      <c r="Q28" s="1209"/>
      <c r="R28" s="1210"/>
      <c r="S28" s="362"/>
    </row>
    <row r="29" spans="1:19" s="413" customFormat="1" ht="12.9" x14ac:dyDescent="0.35">
      <c r="A29" s="416"/>
      <c r="B29" s="407" t="s">
        <v>367</v>
      </c>
      <c r="C29" s="686">
        <v>146.30000000000001</v>
      </c>
      <c r="D29" s="809">
        <v>1751</v>
      </c>
      <c r="E29" s="820">
        <v>119.64999999999999</v>
      </c>
      <c r="F29" s="820">
        <v>143.79</v>
      </c>
      <c r="G29" s="820">
        <v>263.44000000000005</v>
      </c>
      <c r="H29" s="821">
        <v>141.6</v>
      </c>
      <c r="I29" s="5"/>
      <c r="J29" s="534"/>
      <c r="K29" s="70"/>
      <c r="L29" s="24" t="s">
        <v>367</v>
      </c>
      <c r="M29" s="693"/>
      <c r="N29" s="689"/>
      <c r="O29" s="689"/>
      <c r="P29" s="689"/>
      <c r="Q29" s="689"/>
      <c r="R29" s="694"/>
      <c r="S29" s="362"/>
    </row>
    <row r="30" spans="1:19" s="413" customFormat="1" ht="12.9" x14ac:dyDescent="0.35">
      <c r="A30" s="416"/>
      <c r="B30" s="407" t="s">
        <v>334</v>
      </c>
      <c r="C30" s="686">
        <v>154</v>
      </c>
      <c r="D30" s="809">
        <v>1851</v>
      </c>
      <c r="E30" s="820">
        <v>119.49999999999999</v>
      </c>
      <c r="F30" s="820">
        <v>162.35</v>
      </c>
      <c r="G30" s="820">
        <v>281.85000000000002</v>
      </c>
      <c r="H30" s="821">
        <v>130.9</v>
      </c>
      <c r="I30" s="5"/>
      <c r="J30" s="534"/>
      <c r="K30" s="70"/>
      <c r="L30" s="24" t="s">
        <v>334</v>
      </c>
      <c r="M30" s="693"/>
      <c r="N30" s="689"/>
      <c r="O30" s="689"/>
      <c r="P30" s="689"/>
      <c r="Q30" s="689"/>
      <c r="R30" s="694"/>
      <c r="S30" s="362"/>
    </row>
    <row r="31" spans="1:19" s="413" customFormat="1" ht="12.9" x14ac:dyDescent="0.35">
      <c r="A31" s="367"/>
      <c r="B31" s="366" t="s">
        <v>300</v>
      </c>
      <c r="C31" s="156">
        <v>153</v>
      </c>
      <c r="D31" s="363">
        <v>1754</v>
      </c>
      <c r="E31" s="783">
        <v>122.28999999999999</v>
      </c>
      <c r="F31" s="783">
        <v>147.38</v>
      </c>
      <c r="G31" s="783">
        <v>269.66999999999996</v>
      </c>
      <c r="H31" s="784">
        <v>112.8</v>
      </c>
      <c r="I31" s="5"/>
      <c r="J31" s="534"/>
      <c r="K31" s="70"/>
      <c r="L31" s="24" t="s">
        <v>300</v>
      </c>
      <c r="M31" s="693"/>
      <c r="N31" s="689"/>
      <c r="O31" s="689"/>
      <c r="P31" s="689"/>
      <c r="Q31" s="689"/>
      <c r="R31" s="694"/>
      <c r="S31" s="362"/>
    </row>
    <row r="32" spans="1:19" s="413" customFormat="1" ht="13.3" thickBot="1" x14ac:dyDescent="0.4">
      <c r="A32" s="403"/>
      <c r="B32" s="405" t="s">
        <v>155</v>
      </c>
      <c r="C32" s="535">
        <v>141</v>
      </c>
      <c r="D32" s="364">
        <v>1863</v>
      </c>
      <c r="E32" s="788">
        <v>116.53</v>
      </c>
      <c r="F32" s="788">
        <v>207.6</v>
      </c>
      <c r="G32" s="788">
        <v>324.13</v>
      </c>
      <c r="H32" s="789">
        <v>114.05</v>
      </c>
      <c r="I32" s="5"/>
      <c r="J32" s="534"/>
      <c r="K32" s="72"/>
      <c r="L32" s="73" t="s">
        <v>155</v>
      </c>
      <c r="M32" s="695"/>
      <c r="N32" s="696"/>
      <c r="O32" s="696"/>
      <c r="P32" s="696"/>
      <c r="Q32" s="696"/>
      <c r="R32" s="697"/>
      <c r="S32" s="362"/>
    </row>
    <row r="33" spans="1:18" ht="25.95" customHeight="1" x14ac:dyDescent="0.3">
      <c r="A33" s="1709"/>
      <c r="B33" s="1709"/>
      <c r="C33" s="1709"/>
      <c r="D33" s="1709"/>
      <c r="E33" s="1709"/>
      <c r="F33" s="1709"/>
      <c r="G33" s="1709"/>
      <c r="H33" s="1709"/>
      <c r="K33" s="1"/>
    </row>
    <row r="34" spans="1:18" x14ac:dyDescent="0.3">
      <c r="F34" s="8"/>
      <c r="G34" s="8"/>
      <c r="H34" s="8"/>
    </row>
    <row r="35" spans="1:18" x14ac:dyDescent="0.3">
      <c r="F35" s="8"/>
      <c r="G35" s="8"/>
      <c r="H35" s="8"/>
    </row>
    <row r="36" spans="1:18" x14ac:dyDescent="0.3">
      <c r="F36" s="8"/>
      <c r="G36" s="8"/>
      <c r="H36" s="8"/>
    </row>
    <row r="37" spans="1:18" x14ac:dyDescent="0.3">
      <c r="F37" s="8"/>
      <c r="G37" s="8"/>
      <c r="H37" s="8"/>
      <c r="M37" s="8"/>
      <c r="N37" s="8"/>
      <c r="O37" s="8"/>
      <c r="P37" s="8"/>
      <c r="Q37" s="8"/>
      <c r="R37" s="8"/>
    </row>
    <row r="38" spans="1:18" x14ac:dyDescent="0.3">
      <c r="F38" s="8"/>
      <c r="G38" s="8"/>
      <c r="H38" s="8"/>
      <c r="M38" s="8"/>
      <c r="N38" s="8"/>
      <c r="O38" s="8"/>
      <c r="P38" s="8"/>
      <c r="Q38" s="8"/>
      <c r="R38" s="8"/>
    </row>
    <row r="39" spans="1:18" x14ac:dyDescent="0.3">
      <c r="F39" s="8"/>
      <c r="G39" s="8"/>
      <c r="H39" s="8"/>
      <c r="M39" s="8"/>
      <c r="N39" s="8"/>
      <c r="O39" s="8"/>
      <c r="P39" s="8"/>
      <c r="Q39" s="8"/>
      <c r="R39" s="8"/>
    </row>
    <row r="40" spans="1:18" x14ac:dyDescent="0.3">
      <c r="F40" s="8"/>
      <c r="G40" s="8"/>
      <c r="H40" s="8"/>
      <c r="M40" s="8"/>
      <c r="N40" s="8"/>
      <c r="O40" s="8"/>
      <c r="P40" s="8"/>
      <c r="Q40" s="8"/>
      <c r="R40" s="8"/>
    </row>
    <row r="41" spans="1:18" x14ac:dyDescent="0.3">
      <c r="F41" s="8"/>
      <c r="G41" s="8"/>
      <c r="H41" s="8"/>
      <c r="M41" s="8"/>
      <c r="N41" s="8"/>
      <c r="O41" s="8"/>
      <c r="P41" s="8"/>
      <c r="Q41" s="8"/>
      <c r="R41" s="8"/>
    </row>
    <row r="42" spans="1:18" x14ac:dyDescent="0.3">
      <c r="F42" s="8"/>
      <c r="G42" s="8"/>
      <c r="H42" s="8"/>
      <c r="M42" s="8"/>
      <c r="N42" s="8"/>
      <c r="O42" s="8"/>
      <c r="P42" s="8"/>
      <c r="Q42" s="8"/>
      <c r="R42" s="8"/>
    </row>
    <row r="43" spans="1:18" x14ac:dyDescent="0.3">
      <c r="F43" s="8"/>
      <c r="G43" s="8"/>
      <c r="H43" s="8"/>
      <c r="M43" s="8"/>
      <c r="N43" s="8"/>
      <c r="O43" s="8"/>
      <c r="P43" s="8"/>
      <c r="Q43" s="8"/>
      <c r="R43" s="8"/>
    </row>
    <row r="44" spans="1:18" x14ac:dyDescent="0.3">
      <c r="F44" s="8"/>
      <c r="G44" s="8"/>
      <c r="H44" s="8"/>
      <c r="M44" s="8"/>
      <c r="N44" s="8"/>
      <c r="O44" s="8"/>
      <c r="P44" s="8"/>
      <c r="Q44" s="8"/>
      <c r="R44" s="8"/>
    </row>
    <row r="45" spans="1:18" x14ac:dyDescent="0.3">
      <c r="F45" s="8"/>
      <c r="G45" s="8"/>
      <c r="H45" s="8"/>
      <c r="M45" s="8"/>
      <c r="N45" s="8"/>
      <c r="O45" s="8"/>
      <c r="P45" s="8"/>
      <c r="Q45" s="8"/>
      <c r="R45" s="8"/>
    </row>
    <row r="46" spans="1:18" x14ac:dyDescent="0.3">
      <c r="F46" s="8"/>
      <c r="G46" s="8"/>
      <c r="H46" s="8"/>
      <c r="M46" s="8"/>
      <c r="N46" s="8"/>
      <c r="O46" s="8"/>
      <c r="P46" s="8"/>
      <c r="Q46" s="8"/>
      <c r="R46" s="8"/>
    </row>
    <row r="47" spans="1:18" x14ac:dyDescent="0.3">
      <c r="F47" s="8"/>
      <c r="G47" s="8"/>
      <c r="H47" s="8"/>
      <c r="M47" s="8"/>
      <c r="N47" s="8"/>
      <c r="O47" s="8"/>
      <c r="P47" s="8"/>
      <c r="Q47" s="8"/>
      <c r="R47" s="8"/>
    </row>
    <row r="48" spans="1:18" x14ac:dyDescent="0.3">
      <c r="F48" s="8"/>
      <c r="G48" s="8"/>
      <c r="H48" s="8"/>
      <c r="M48" s="8"/>
      <c r="N48" s="8"/>
      <c r="O48" s="8"/>
      <c r="P48" s="8"/>
      <c r="Q48" s="8"/>
      <c r="R48" s="8"/>
    </row>
    <row r="49" spans="6:18" x14ac:dyDescent="0.3">
      <c r="F49" s="8"/>
      <c r="G49" s="8"/>
      <c r="H49" s="8"/>
      <c r="M49" s="8"/>
      <c r="N49" s="8"/>
      <c r="O49" s="8"/>
      <c r="P49" s="8"/>
      <c r="Q49" s="8"/>
      <c r="R49" s="8"/>
    </row>
    <row r="50" spans="6:18" x14ac:dyDescent="0.3">
      <c r="F50" s="8"/>
      <c r="G50" s="8"/>
      <c r="H50" s="8"/>
      <c r="M50" s="8"/>
      <c r="N50" s="8"/>
      <c r="O50" s="8"/>
      <c r="P50" s="8"/>
      <c r="Q50" s="8"/>
      <c r="R50" s="8"/>
    </row>
    <row r="51" spans="6:18" x14ac:dyDescent="0.3">
      <c r="F51" s="8"/>
      <c r="G51" s="8"/>
      <c r="H51" s="8"/>
      <c r="M51" s="8"/>
      <c r="N51" s="8"/>
      <c r="O51" s="8"/>
      <c r="P51" s="8"/>
      <c r="Q51" s="8"/>
      <c r="R51" s="8"/>
    </row>
    <row r="52" spans="6:18" x14ac:dyDescent="0.3">
      <c r="F52" s="8"/>
      <c r="G52" s="8"/>
      <c r="H52" s="8"/>
      <c r="M52" s="8"/>
      <c r="N52" s="8"/>
      <c r="O52" s="8"/>
      <c r="P52" s="8"/>
      <c r="Q52" s="8"/>
      <c r="R52" s="8"/>
    </row>
    <row r="53" spans="6:18" x14ac:dyDescent="0.3">
      <c r="F53" s="8"/>
      <c r="G53" s="8"/>
      <c r="H53" s="8"/>
      <c r="M53" s="8"/>
      <c r="N53" s="8"/>
      <c r="O53" s="8"/>
      <c r="P53" s="8"/>
      <c r="Q53" s="8"/>
      <c r="R53" s="8"/>
    </row>
    <row r="54" spans="6:18" x14ac:dyDescent="0.3">
      <c r="F54" s="8"/>
      <c r="G54" s="8"/>
      <c r="H54" s="8"/>
      <c r="M54" s="8"/>
      <c r="N54" s="8"/>
      <c r="O54" s="8"/>
      <c r="P54" s="8"/>
      <c r="Q54" s="8"/>
      <c r="R54" s="8"/>
    </row>
    <row r="55" spans="6:18" x14ac:dyDescent="0.3">
      <c r="F55" s="8"/>
      <c r="G55" s="8"/>
      <c r="H55" s="8"/>
      <c r="M55" s="8"/>
      <c r="N55" s="8"/>
      <c r="O55" s="8"/>
      <c r="P55" s="8"/>
      <c r="Q55" s="8"/>
      <c r="R55" s="8"/>
    </row>
    <row r="56" spans="6:18" x14ac:dyDescent="0.3">
      <c r="F56" s="8"/>
      <c r="G56" s="8"/>
      <c r="H56" s="8"/>
      <c r="M56" s="8"/>
      <c r="N56" s="8"/>
      <c r="O56" s="8"/>
      <c r="P56" s="8"/>
      <c r="Q56" s="8"/>
      <c r="R56" s="8"/>
    </row>
    <row r="57" spans="6:18" x14ac:dyDescent="0.3">
      <c r="F57" s="8"/>
      <c r="G57" s="8"/>
      <c r="H57" s="8"/>
      <c r="M57" s="8"/>
      <c r="N57" s="8"/>
      <c r="O57" s="8"/>
      <c r="P57" s="8"/>
      <c r="Q57" s="8"/>
      <c r="R57" s="8"/>
    </row>
    <row r="58" spans="6:18" x14ac:dyDescent="0.3">
      <c r="F58" s="8"/>
      <c r="G58" s="8"/>
      <c r="H58" s="8"/>
      <c r="M58" s="8"/>
      <c r="N58" s="8"/>
      <c r="O58" s="8"/>
      <c r="P58" s="8"/>
      <c r="Q58" s="8"/>
      <c r="R58" s="8"/>
    </row>
    <row r="59" spans="6:18" x14ac:dyDescent="0.3">
      <c r="F59" s="8"/>
      <c r="G59" s="8"/>
      <c r="H59" s="8"/>
      <c r="M59" s="8"/>
      <c r="N59" s="8"/>
      <c r="O59" s="8"/>
      <c r="P59" s="8"/>
      <c r="Q59" s="8"/>
      <c r="R59" s="8"/>
    </row>
    <row r="60" spans="6:18" x14ac:dyDescent="0.3">
      <c r="F60" s="8"/>
      <c r="G60" s="8"/>
      <c r="H60" s="8"/>
      <c r="M60" s="8"/>
      <c r="N60" s="8"/>
      <c r="O60" s="8"/>
      <c r="P60" s="8"/>
      <c r="Q60" s="8"/>
      <c r="R60" s="8"/>
    </row>
    <row r="61" spans="6:18" x14ac:dyDescent="0.3">
      <c r="F61" s="8"/>
      <c r="G61" s="8"/>
      <c r="H61" s="8"/>
      <c r="M61" s="8"/>
      <c r="N61" s="8"/>
      <c r="O61" s="8"/>
      <c r="P61" s="8"/>
      <c r="Q61" s="8"/>
      <c r="R61" s="8"/>
    </row>
    <row r="62" spans="6:18" x14ac:dyDescent="0.3">
      <c r="F62" s="8"/>
      <c r="G62" s="8"/>
      <c r="H62" s="8"/>
      <c r="M62" s="8"/>
      <c r="N62" s="8"/>
      <c r="O62" s="8"/>
      <c r="P62" s="8"/>
      <c r="Q62" s="8"/>
      <c r="R62" s="8"/>
    </row>
    <row r="63" spans="6:18" x14ac:dyDescent="0.3">
      <c r="F63" s="8"/>
      <c r="G63" s="8"/>
      <c r="H63" s="8"/>
      <c r="M63" s="8"/>
      <c r="N63" s="8"/>
      <c r="O63" s="8"/>
      <c r="P63" s="8"/>
      <c r="Q63" s="8"/>
      <c r="R63" s="8"/>
    </row>
    <row r="64" spans="6:18" x14ac:dyDescent="0.3">
      <c r="F64" s="8"/>
      <c r="G64" s="8"/>
      <c r="H64" s="8"/>
      <c r="M64" s="8"/>
      <c r="N64" s="8"/>
      <c r="O64" s="8"/>
      <c r="P64" s="8"/>
      <c r="Q64" s="8"/>
      <c r="R64" s="8"/>
    </row>
    <row r="65" spans="6:18" x14ac:dyDescent="0.3">
      <c r="F65" s="8"/>
      <c r="G65" s="8"/>
      <c r="H65" s="8"/>
      <c r="M65" s="8"/>
      <c r="N65" s="8"/>
      <c r="O65" s="8"/>
      <c r="P65" s="8"/>
      <c r="Q65" s="8"/>
      <c r="R65" s="8"/>
    </row>
    <row r="66" spans="6:18" x14ac:dyDescent="0.3">
      <c r="F66" s="8"/>
      <c r="G66" s="8"/>
      <c r="H66" s="8"/>
      <c r="M66" s="8"/>
      <c r="N66" s="8"/>
      <c r="O66" s="8"/>
      <c r="P66" s="8"/>
      <c r="Q66" s="8"/>
      <c r="R66" s="8"/>
    </row>
    <row r="67" spans="6:18" x14ac:dyDescent="0.3">
      <c r="F67" s="8"/>
      <c r="G67" s="8"/>
      <c r="H67" s="8"/>
      <c r="M67" s="8"/>
      <c r="N67" s="8"/>
      <c r="O67" s="8"/>
      <c r="P67" s="8"/>
      <c r="Q67" s="8"/>
      <c r="R67" s="8"/>
    </row>
    <row r="68" spans="6:18" x14ac:dyDescent="0.3">
      <c r="F68" s="8"/>
      <c r="G68" s="8"/>
      <c r="H68" s="8"/>
      <c r="M68" s="8"/>
      <c r="N68" s="8"/>
      <c r="O68" s="8"/>
      <c r="P68" s="8"/>
      <c r="Q68" s="8"/>
      <c r="R68" s="8"/>
    </row>
    <row r="69" spans="6:18" x14ac:dyDescent="0.3">
      <c r="F69" s="8"/>
      <c r="G69" s="8"/>
      <c r="H69" s="8"/>
      <c r="M69" s="8"/>
      <c r="N69" s="8"/>
      <c r="O69" s="8"/>
      <c r="P69" s="8"/>
      <c r="Q69" s="8"/>
      <c r="R69" s="8"/>
    </row>
    <row r="70" spans="6:18" x14ac:dyDescent="0.3">
      <c r="F70" s="8"/>
      <c r="G70" s="8"/>
      <c r="H70" s="8"/>
      <c r="M70" s="8"/>
      <c r="N70" s="8"/>
      <c r="O70" s="8"/>
      <c r="P70" s="8"/>
      <c r="Q70" s="8"/>
      <c r="R70" s="8"/>
    </row>
    <row r="71" spans="6:18" x14ac:dyDescent="0.3">
      <c r="F71" s="8"/>
      <c r="G71" s="8"/>
      <c r="H71" s="8"/>
      <c r="M71" s="8"/>
      <c r="N71" s="8"/>
      <c r="O71" s="8"/>
      <c r="P71" s="8"/>
      <c r="Q71" s="8"/>
      <c r="R71" s="8"/>
    </row>
    <row r="72" spans="6:18" x14ac:dyDescent="0.3">
      <c r="F72" s="8"/>
      <c r="G72" s="8"/>
      <c r="H72" s="8"/>
      <c r="M72" s="8"/>
      <c r="N72" s="8"/>
      <c r="O72" s="8"/>
      <c r="P72" s="8"/>
      <c r="Q72" s="8"/>
      <c r="R72" s="8"/>
    </row>
    <row r="73" spans="6:18" x14ac:dyDescent="0.3">
      <c r="F73" s="8"/>
      <c r="G73" s="8"/>
      <c r="H73" s="8"/>
      <c r="M73" s="8"/>
      <c r="N73" s="8"/>
      <c r="O73" s="8"/>
      <c r="P73" s="8"/>
      <c r="Q73" s="8"/>
      <c r="R73" s="8"/>
    </row>
    <row r="74" spans="6:18" x14ac:dyDescent="0.3">
      <c r="F74" s="8"/>
      <c r="G74" s="8"/>
      <c r="H74" s="8"/>
      <c r="M74" s="8"/>
      <c r="N74" s="8"/>
      <c r="O74" s="8"/>
      <c r="P74" s="8"/>
      <c r="Q74" s="8"/>
      <c r="R74" s="8"/>
    </row>
    <row r="75" spans="6:18" x14ac:dyDescent="0.3">
      <c r="F75" s="8"/>
      <c r="G75" s="8"/>
      <c r="H75" s="8"/>
      <c r="M75" s="8"/>
      <c r="N75" s="8"/>
      <c r="O75" s="8"/>
      <c r="P75" s="8"/>
      <c r="Q75" s="8"/>
      <c r="R75" s="8"/>
    </row>
    <row r="76" spans="6:18" x14ac:dyDescent="0.3">
      <c r="F76" s="8"/>
      <c r="G76" s="8"/>
      <c r="H76" s="8"/>
      <c r="M76" s="8"/>
      <c r="N76" s="8"/>
      <c r="O76" s="8"/>
      <c r="P76" s="8"/>
      <c r="Q76" s="8"/>
      <c r="R76" s="8"/>
    </row>
    <row r="77" spans="6:18" x14ac:dyDescent="0.3">
      <c r="F77" s="8"/>
      <c r="G77" s="8"/>
      <c r="H77" s="8"/>
      <c r="M77" s="8"/>
      <c r="N77" s="8"/>
      <c r="O77" s="8"/>
      <c r="P77" s="8"/>
      <c r="Q77" s="8"/>
      <c r="R77" s="8"/>
    </row>
    <row r="78" spans="6:18" x14ac:dyDescent="0.3">
      <c r="F78" s="8"/>
      <c r="G78" s="8"/>
      <c r="H78" s="8"/>
      <c r="M78" s="8"/>
      <c r="N78" s="8"/>
      <c r="O78" s="8"/>
      <c r="P78" s="8"/>
      <c r="Q78" s="8"/>
      <c r="R78" s="8"/>
    </row>
    <row r="79" spans="6:18" x14ac:dyDescent="0.3">
      <c r="F79" s="8"/>
      <c r="G79" s="8"/>
      <c r="H79" s="8"/>
      <c r="M79" s="8"/>
      <c r="N79" s="8"/>
      <c r="O79" s="8"/>
      <c r="P79" s="8"/>
      <c r="Q79" s="8"/>
      <c r="R79" s="8"/>
    </row>
    <row r="80" spans="6:18" x14ac:dyDescent="0.3">
      <c r="F80" s="8"/>
      <c r="G80" s="8"/>
      <c r="H80" s="8"/>
      <c r="M80" s="8"/>
      <c r="N80" s="8"/>
      <c r="O80" s="8"/>
      <c r="P80" s="8"/>
      <c r="Q80" s="8"/>
      <c r="R80" s="8"/>
    </row>
    <row r="81" spans="6:18" x14ac:dyDescent="0.3">
      <c r="F81" s="8"/>
      <c r="G81" s="8"/>
      <c r="H81" s="8"/>
      <c r="M81" s="8"/>
      <c r="N81" s="8"/>
      <c r="O81" s="8"/>
      <c r="P81" s="8"/>
      <c r="Q81" s="8"/>
      <c r="R81" s="8"/>
    </row>
    <row r="82" spans="6:18" x14ac:dyDescent="0.3">
      <c r="F82" s="8"/>
      <c r="G82" s="8"/>
      <c r="H82" s="8"/>
      <c r="M82" s="8"/>
      <c r="N82" s="8"/>
      <c r="O82" s="8"/>
      <c r="P82" s="8"/>
      <c r="Q82" s="8"/>
      <c r="R82" s="8"/>
    </row>
    <row r="83" spans="6:18" x14ac:dyDescent="0.3">
      <c r="F83" s="8"/>
      <c r="G83" s="8"/>
      <c r="H83" s="8"/>
      <c r="M83" s="8"/>
      <c r="N83" s="8"/>
      <c r="O83" s="8"/>
      <c r="P83" s="8"/>
      <c r="Q83" s="8"/>
      <c r="R83" s="8"/>
    </row>
    <row r="84" spans="6:18" x14ac:dyDescent="0.3">
      <c r="F84" s="8"/>
      <c r="G84" s="8"/>
      <c r="H84" s="8"/>
      <c r="M84" s="8"/>
      <c r="N84" s="8"/>
      <c r="O84" s="8"/>
      <c r="P84" s="8"/>
      <c r="Q84" s="8"/>
      <c r="R84" s="8"/>
    </row>
    <row r="85" spans="6:18" x14ac:dyDescent="0.3">
      <c r="F85" s="8"/>
      <c r="G85" s="8"/>
      <c r="H85" s="8"/>
      <c r="M85" s="8"/>
      <c r="N85" s="8"/>
      <c r="O85" s="8"/>
      <c r="P85" s="8"/>
      <c r="Q85" s="8"/>
      <c r="R85" s="8"/>
    </row>
    <row r="86" spans="6:18" x14ac:dyDescent="0.3">
      <c r="F86" s="8"/>
      <c r="G86" s="8"/>
      <c r="H86" s="8"/>
      <c r="M86" s="8"/>
      <c r="N86" s="8"/>
      <c r="O86" s="8"/>
      <c r="P86" s="8"/>
      <c r="Q86" s="8"/>
      <c r="R86" s="8"/>
    </row>
    <row r="87" spans="6:18" x14ac:dyDescent="0.3">
      <c r="F87" s="8"/>
      <c r="G87" s="8"/>
      <c r="H87" s="8"/>
      <c r="M87" s="8"/>
      <c r="N87" s="8"/>
      <c r="O87" s="8"/>
      <c r="P87" s="8"/>
      <c r="Q87" s="8"/>
      <c r="R87" s="8"/>
    </row>
    <row r="88" spans="6:18" x14ac:dyDescent="0.3">
      <c r="F88" s="8"/>
      <c r="G88" s="8"/>
      <c r="H88" s="8"/>
      <c r="M88" s="8"/>
      <c r="N88" s="8"/>
      <c r="O88" s="8"/>
      <c r="P88" s="8"/>
      <c r="Q88" s="8"/>
      <c r="R88" s="8"/>
    </row>
    <row r="89" spans="6:18" x14ac:dyDescent="0.3">
      <c r="F89" s="8"/>
      <c r="G89" s="8"/>
      <c r="H89" s="8"/>
      <c r="M89" s="8"/>
      <c r="N89" s="8"/>
      <c r="O89" s="8"/>
      <c r="P89" s="8"/>
      <c r="Q89" s="8"/>
      <c r="R89" s="8"/>
    </row>
    <row r="90" spans="6:18" x14ac:dyDescent="0.3">
      <c r="F90" s="8"/>
      <c r="G90" s="8"/>
      <c r="H90" s="8"/>
      <c r="M90" s="8"/>
      <c r="N90" s="8"/>
      <c r="O90" s="8"/>
      <c r="P90" s="8"/>
      <c r="Q90" s="8"/>
      <c r="R90" s="8"/>
    </row>
    <row r="91" spans="6:18" x14ac:dyDescent="0.3">
      <c r="F91" s="8"/>
      <c r="G91" s="8"/>
      <c r="H91" s="8"/>
      <c r="M91" s="8"/>
      <c r="N91" s="8"/>
      <c r="O91" s="8"/>
      <c r="P91" s="8"/>
      <c r="Q91" s="8"/>
      <c r="R91" s="8"/>
    </row>
    <row r="92" spans="6:18" x14ac:dyDescent="0.3">
      <c r="F92" s="8"/>
      <c r="G92" s="8"/>
      <c r="H92" s="8"/>
      <c r="M92" s="8"/>
      <c r="N92" s="8"/>
      <c r="O92" s="8"/>
      <c r="P92" s="8"/>
      <c r="Q92" s="8"/>
      <c r="R92" s="8"/>
    </row>
    <row r="93" spans="6:18" x14ac:dyDescent="0.3">
      <c r="F93" s="8"/>
      <c r="G93" s="8"/>
      <c r="H93" s="8"/>
      <c r="M93" s="8"/>
      <c r="N93" s="8"/>
      <c r="O93" s="8"/>
      <c r="P93" s="8"/>
      <c r="Q93" s="8"/>
      <c r="R93" s="8"/>
    </row>
    <row r="94" spans="6:18" x14ac:dyDescent="0.3">
      <c r="F94" s="8"/>
      <c r="G94" s="8"/>
      <c r="H94" s="8"/>
      <c r="M94" s="8"/>
      <c r="N94" s="8"/>
      <c r="O94" s="8"/>
      <c r="P94" s="8"/>
      <c r="Q94" s="8"/>
      <c r="R94" s="8"/>
    </row>
    <row r="95" spans="6:18" x14ac:dyDescent="0.3">
      <c r="F95" s="8"/>
      <c r="G95" s="8"/>
      <c r="H95" s="8"/>
      <c r="M95" s="8"/>
      <c r="N95" s="8"/>
      <c r="O95" s="8"/>
      <c r="P95" s="8"/>
      <c r="Q95" s="8"/>
      <c r="R95" s="8"/>
    </row>
    <row r="96" spans="6:18" x14ac:dyDescent="0.3">
      <c r="F96" s="8"/>
      <c r="G96" s="8"/>
      <c r="H96" s="8"/>
      <c r="M96" s="8"/>
      <c r="N96" s="8"/>
      <c r="O96" s="8"/>
      <c r="P96" s="8"/>
      <c r="Q96" s="8"/>
      <c r="R96" s="8"/>
    </row>
    <row r="97" spans="6:18" x14ac:dyDescent="0.3">
      <c r="F97" s="8"/>
      <c r="G97" s="8"/>
      <c r="H97" s="8"/>
      <c r="M97" s="8"/>
      <c r="N97" s="8"/>
      <c r="O97" s="8"/>
      <c r="P97" s="8"/>
      <c r="Q97" s="8"/>
      <c r="R97" s="8"/>
    </row>
    <row r="98" spans="6:18" x14ac:dyDescent="0.3">
      <c r="F98" s="8"/>
      <c r="G98" s="8"/>
      <c r="H98" s="8"/>
      <c r="M98" s="8"/>
      <c r="N98" s="8"/>
      <c r="O98" s="8"/>
      <c r="P98" s="8"/>
      <c r="Q98" s="8"/>
      <c r="R98" s="8"/>
    </row>
    <row r="99" spans="6:18" x14ac:dyDescent="0.3">
      <c r="F99" s="8"/>
      <c r="G99" s="8"/>
      <c r="H99" s="8"/>
      <c r="M99" s="8"/>
      <c r="N99" s="8"/>
      <c r="O99" s="8"/>
      <c r="P99" s="8"/>
      <c r="Q99" s="8"/>
      <c r="R99" s="8"/>
    </row>
    <row r="100" spans="6:18" x14ac:dyDescent="0.3">
      <c r="F100" s="8"/>
      <c r="G100" s="8"/>
      <c r="H100" s="8"/>
      <c r="M100" s="8"/>
      <c r="N100" s="8"/>
      <c r="O100" s="8"/>
      <c r="P100" s="8"/>
      <c r="Q100" s="8"/>
      <c r="R100" s="8"/>
    </row>
    <row r="101" spans="6:18" x14ac:dyDescent="0.3">
      <c r="F101" s="8"/>
      <c r="G101" s="8"/>
      <c r="H101" s="8"/>
      <c r="M101" s="8"/>
      <c r="N101" s="8"/>
      <c r="O101" s="8"/>
      <c r="P101" s="8"/>
      <c r="Q101" s="8"/>
      <c r="R101" s="8"/>
    </row>
    <row r="102" spans="6:18" x14ac:dyDescent="0.3">
      <c r="F102" s="8"/>
      <c r="G102" s="8"/>
      <c r="H102" s="8"/>
      <c r="M102" s="8"/>
      <c r="N102" s="8"/>
      <c r="O102" s="8"/>
      <c r="P102" s="8"/>
      <c r="Q102" s="8"/>
      <c r="R102" s="8"/>
    </row>
    <row r="103" spans="6:18" x14ac:dyDescent="0.3">
      <c r="F103" s="8"/>
      <c r="G103" s="8"/>
      <c r="H103" s="8"/>
      <c r="M103" s="8"/>
      <c r="N103" s="8"/>
      <c r="O103" s="8"/>
      <c r="P103" s="8"/>
      <c r="Q103" s="8"/>
      <c r="R103" s="8"/>
    </row>
    <row r="104" spans="6:18" x14ac:dyDescent="0.3">
      <c r="F104" s="8"/>
      <c r="G104" s="8"/>
      <c r="H104" s="8"/>
      <c r="M104" s="8"/>
      <c r="N104" s="8"/>
      <c r="O104" s="8"/>
      <c r="P104" s="8"/>
      <c r="Q104" s="8"/>
      <c r="R104" s="8"/>
    </row>
    <row r="105" spans="6:18" x14ac:dyDescent="0.3">
      <c r="F105" s="8"/>
      <c r="G105" s="8"/>
      <c r="H105" s="8"/>
      <c r="M105" s="8"/>
      <c r="N105" s="8"/>
      <c r="O105" s="8"/>
      <c r="P105" s="8"/>
      <c r="Q105" s="8"/>
      <c r="R105" s="8"/>
    </row>
    <row r="106" spans="6:18" x14ac:dyDescent="0.3">
      <c r="F106" s="8"/>
      <c r="G106" s="8"/>
      <c r="H106" s="8"/>
      <c r="M106" s="8"/>
      <c r="N106" s="8"/>
      <c r="O106" s="8"/>
      <c r="P106" s="8"/>
      <c r="Q106" s="8"/>
      <c r="R106" s="8"/>
    </row>
    <row r="107" spans="6:18" x14ac:dyDescent="0.3">
      <c r="F107" s="8"/>
      <c r="G107" s="8"/>
      <c r="H107" s="8"/>
      <c r="M107" s="8"/>
      <c r="N107" s="8"/>
      <c r="O107" s="8"/>
      <c r="P107" s="8"/>
      <c r="Q107" s="8"/>
      <c r="R107" s="8"/>
    </row>
    <row r="108" spans="6:18" x14ac:dyDescent="0.3">
      <c r="F108" s="8"/>
      <c r="G108" s="8"/>
      <c r="H108" s="8"/>
      <c r="M108" s="8"/>
      <c r="N108" s="8"/>
      <c r="O108" s="8"/>
      <c r="P108" s="8"/>
      <c r="Q108" s="8"/>
      <c r="R108" s="8"/>
    </row>
    <row r="109" spans="6:18" x14ac:dyDescent="0.3">
      <c r="F109" s="8"/>
      <c r="G109" s="8"/>
      <c r="H109" s="8"/>
      <c r="M109" s="8"/>
      <c r="N109" s="8"/>
      <c r="O109" s="8"/>
      <c r="P109" s="8"/>
      <c r="Q109" s="8"/>
      <c r="R109" s="8"/>
    </row>
    <row r="110" spans="6:18" x14ac:dyDescent="0.3">
      <c r="F110" s="8"/>
      <c r="G110" s="8"/>
      <c r="H110" s="8"/>
      <c r="M110" s="8"/>
      <c r="N110" s="8"/>
      <c r="O110" s="8"/>
      <c r="P110" s="8"/>
      <c r="Q110" s="8"/>
      <c r="R110" s="8"/>
    </row>
    <row r="111" spans="6:18" x14ac:dyDescent="0.3">
      <c r="F111" s="8"/>
      <c r="G111" s="8"/>
      <c r="H111" s="8"/>
      <c r="M111" s="8"/>
      <c r="N111" s="8"/>
      <c r="O111" s="8"/>
      <c r="P111" s="8"/>
      <c r="Q111" s="8"/>
      <c r="R111" s="8"/>
    </row>
    <row r="112" spans="6:18" x14ac:dyDescent="0.3">
      <c r="F112" s="8"/>
      <c r="G112" s="8"/>
      <c r="H112" s="8"/>
      <c r="M112" s="8"/>
      <c r="N112" s="8"/>
      <c r="O112" s="8"/>
      <c r="P112" s="8"/>
      <c r="Q112" s="8"/>
      <c r="R112" s="8"/>
    </row>
    <row r="113" spans="6:18" x14ac:dyDescent="0.3">
      <c r="F113" s="8"/>
      <c r="G113" s="8"/>
      <c r="H113" s="8"/>
      <c r="M113" s="8"/>
      <c r="N113" s="8"/>
      <c r="O113" s="8"/>
      <c r="P113" s="8"/>
      <c r="Q113" s="8"/>
      <c r="R113" s="8"/>
    </row>
    <row r="114" spans="6:18" x14ac:dyDescent="0.3">
      <c r="F114" s="8"/>
      <c r="G114" s="8"/>
      <c r="H114" s="8"/>
      <c r="M114" s="8"/>
      <c r="N114" s="8"/>
      <c r="O114" s="8"/>
      <c r="P114" s="8"/>
      <c r="Q114" s="8"/>
      <c r="R114" s="8"/>
    </row>
    <row r="115" spans="6:18" x14ac:dyDescent="0.3">
      <c r="F115" s="8"/>
      <c r="G115" s="8"/>
      <c r="H115" s="8"/>
      <c r="M115" s="8"/>
      <c r="N115" s="8"/>
      <c r="O115" s="8"/>
      <c r="P115" s="8"/>
      <c r="Q115" s="8"/>
      <c r="R115" s="8"/>
    </row>
    <row r="116" spans="6:18" x14ac:dyDescent="0.3">
      <c r="F116" s="8"/>
      <c r="G116" s="8"/>
      <c r="H116" s="8"/>
      <c r="M116" s="8"/>
      <c r="N116" s="8"/>
      <c r="O116" s="8"/>
      <c r="P116" s="8"/>
      <c r="Q116" s="8"/>
      <c r="R116" s="8"/>
    </row>
    <row r="117" spans="6:18" x14ac:dyDescent="0.3">
      <c r="F117" s="8"/>
      <c r="G117" s="8"/>
      <c r="H117" s="8"/>
      <c r="M117" s="8"/>
      <c r="N117" s="8"/>
      <c r="O117" s="8"/>
      <c r="P117" s="8"/>
      <c r="Q117" s="8"/>
      <c r="R117" s="8"/>
    </row>
    <row r="118" spans="6:18" x14ac:dyDescent="0.3">
      <c r="F118" s="8"/>
      <c r="G118" s="8"/>
      <c r="H118" s="8"/>
      <c r="M118" s="8"/>
      <c r="N118" s="8"/>
      <c r="O118" s="8"/>
      <c r="P118" s="8"/>
      <c r="Q118" s="8"/>
      <c r="R118" s="8"/>
    </row>
    <row r="119" spans="6:18" x14ac:dyDescent="0.3">
      <c r="F119" s="8"/>
      <c r="G119" s="8"/>
      <c r="H119" s="8"/>
      <c r="M119" s="8"/>
      <c r="N119" s="8"/>
      <c r="O119" s="8"/>
      <c r="P119" s="8"/>
      <c r="Q119" s="8"/>
      <c r="R119" s="8"/>
    </row>
    <row r="120" spans="6:18" x14ac:dyDescent="0.3">
      <c r="F120" s="8"/>
      <c r="G120" s="8"/>
      <c r="H120" s="8"/>
      <c r="M120" s="8"/>
      <c r="N120" s="8"/>
      <c r="O120" s="8"/>
      <c r="P120" s="8"/>
      <c r="Q120" s="8"/>
      <c r="R120" s="8"/>
    </row>
    <row r="121" spans="6:18" x14ac:dyDescent="0.3">
      <c r="F121" s="8"/>
      <c r="G121" s="8"/>
      <c r="H121" s="8"/>
      <c r="M121" s="8"/>
      <c r="N121" s="8"/>
      <c r="O121" s="8"/>
      <c r="P121" s="8"/>
      <c r="Q121" s="8"/>
      <c r="R121" s="8"/>
    </row>
    <row r="122" spans="6:18" x14ac:dyDescent="0.3">
      <c r="F122" s="8"/>
      <c r="G122" s="8"/>
      <c r="H122" s="8"/>
      <c r="M122" s="8"/>
      <c r="N122" s="8"/>
      <c r="O122" s="8"/>
      <c r="P122" s="8"/>
      <c r="Q122" s="8"/>
      <c r="R122" s="8"/>
    </row>
    <row r="123" spans="6:18" x14ac:dyDescent="0.3">
      <c r="F123" s="8"/>
      <c r="G123" s="8"/>
      <c r="H123" s="8"/>
      <c r="M123" s="8"/>
      <c r="N123" s="8"/>
      <c r="O123" s="8"/>
      <c r="P123" s="8"/>
      <c r="Q123" s="8"/>
      <c r="R123" s="8"/>
    </row>
    <row r="124" spans="6:18" x14ac:dyDescent="0.3">
      <c r="F124" s="8"/>
      <c r="G124" s="8"/>
      <c r="H124" s="8"/>
      <c r="M124" s="8"/>
      <c r="N124" s="8"/>
      <c r="O124" s="8"/>
      <c r="P124" s="8"/>
      <c r="Q124" s="8"/>
      <c r="R124" s="8"/>
    </row>
    <row r="125" spans="6:18" x14ac:dyDescent="0.3">
      <c r="F125" s="8"/>
      <c r="G125" s="8"/>
      <c r="H125" s="8"/>
      <c r="M125" s="8"/>
      <c r="N125" s="8"/>
      <c r="O125" s="8"/>
      <c r="P125" s="8"/>
      <c r="Q125" s="8"/>
      <c r="R125" s="8"/>
    </row>
    <row r="126" spans="6:18" x14ac:dyDescent="0.3">
      <c r="F126" s="8"/>
      <c r="G126" s="8"/>
      <c r="H126" s="8"/>
      <c r="M126" s="8"/>
      <c r="N126" s="8"/>
      <c r="O126" s="8"/>
      <c r="P126" s="8"/>
      <c r="Q126" s="8"/>
      <c r="R126" s="8"/>
    </row>
    <row r="127" spans="6:18" x14ac:dyDescent="0.3">
      <c r="F127" s="8"/>
      <c r="G127" s="8"/>
      <c r="H127" s="8"/>
      <c r="M127" s="8"/>
      <c r="N127" s="8"/>
      <c r="O127" s="8"/>
      <c r="P127" s="8"/>
      <c r="Q127" s="8"/>
      <c r="R127" s="8"/>
    </row>
    <row r="128" spans="6:18" x14ac:dyDescent="0.3">
      <c r="F128" s="8"/>
      <c r="G128" s="8"/>
      <c r="H128" s="8"/>
      <c r="M128" s="8"/>
      <c r="N128" s="8"/>
      <c r="O128" s="8"/>
      <c r="P128" s="8"/>
      <c r="Q128" s="8"/>
      <c r="R128" s="8"/>
    </row>
    <row r="129" spans="6:18" x14ac:dyDescent="0.3">
      <c r="F129" s="8"/>
      <c r="G129" s="8"/>
      <c r="H129" s="8"/>
      <c r="M129" s="8"/>
      <c r="N129" s="8"/>
      <c r="O129" s="8"/>
      <c r="P129" s="8"/>
      <c r="Q129" s="8"/>
      <c r="R129" s="8"/>
    </row>
    <row r="130" spans="6:18" x14ac:dyDescent="0.3">
      <c r="F130" s="8"/>
      <c r="G130" s="8"/>
      <c r="H130" s="8"/>
      <c r="M130" s="8"/>
      <c r="N130" s="8"/>
      <c r="O130" s="8"/>
      <c r="P130" s="8"/>
      <c r="Q130" s="8"/>
      <c r="R130" s="8"/>
    </row>
    <row r="131" spans="6:18" x14ac:dyDescent="0.3">
      <c r="F131" s="8"/>
      <c r="G131" s="8"/>
      <c r="H131" s="8"/>
      <c r="M131" s="8"/>
      <c r="N131" s="8"/>
      <c r="O131" s="8"/>
      <c r="P131" s="8"/>
      <c r="Q131" s="8"/>
      <c r="R131" s="8"/>
    </row>
    <row r="132" spans="6:18" x14ac:dyDescent="0.3">
      <c r="F132" s="8"/>
      <c r="G132" s="8"/>
      <c r="H132" s="8"/>
      <c r="M132" s="8"/>
      <c r="N132" s="8"/>
      <c r="O132" s="8"/>
      <c r="P132" s="8"/>
      <c r="Q132" s="8"/>
      <c r="R132" s="8"/>
    </row>
    <row r="133" spans="6:18" x14ac:dyDescent="0.3">
      <c r="F133" s="8"/>
      <c r="G133" s="8"/>
      <c r="H133" s="8"/>
      <c r="M133" s="8"/>
      <c r="N133" s="8"/>
      <c r="O133" s="8"/>
      <c r="P133" s="8"/>
      <c r="Q133" s="8"/>
      <c r="R133" s="8"/>
    </row>
    <row r="134" spans="6:18" x14ac:dyDescent="0.3">
      <c r="F134" s="8"/>
      <c r="G134" s="8"/>
      <c r="H134" s="8"/>
      <c r="M134" s="8"/>
      <c r="N134" s="8"/>
      <c r="O134" s="8"/>
      <c r="P134" s="8"/>
      <c r="Q134" s="8"/>
      <c r="R134" s="8"/>
    </row>
    <row r="135" spans="6:18" x14ac:dyDescent="0.3">
      <c r="F135" s="8"/>
      <c r="G135" s="8"/>
      <c r="H135" s="8"/>
      <c r="M135" s="8"/>
      <c r="N135" s="8"/>
      <c r="O135" s="8"/>
      <c r="P135" s="8"/>
      <c r="Q135" s="8"/>
      <c r="R135" s="8"/>
    </row>
    <row r="136" spans="6:18" x14ac:dyDescent="0.3">
      <c r="F136" s="8"/>
      <c r="G136" s="8"/>
      <c r="H136" s="8"/>
      <c r="M136" s="8"/>
      <c r="N136" s="8"/>
      <c r="O136" s="8"/>
      <c r="P136" s="8"/>
      <c r="Q136" s="8"/>
      <c r="R136" s="8"/>
    </row>
    <row r="137" spans="6:18" x14ac:dyDescent="0.3">
      <c r="F137" s="8"/>
      <c r="G137" s="8"/>
      <c r="H137" s="8"/>
      <c r="M137" s="8"/>
      <c r="N137" s="8"/>
      <c r="O137" s="8"/>
      <c r="P137" s="8"/>
      <c r="Q137" s="8"/>
      <c r="R137" s="8"/>
    </row>
    <row r="138" spans="6:18" x14ac:dyDescent="0.3">
      <c r="F138" s="8"/>
      <c r="G138" s="8"/>
      <c r="H138" s="8"/>
      <c r="M138" s="8"/>
      <c r="N138" s="8"/>
      <c r="O138" s="8"/>
      <c r="P138" s="8"/>
      <c r="Q138" s="8"/>
      <c r="R138" s="8"/>
    </row>
    <row r="139" spans="6:18" x14ac:dyDescent="0.3">
      <c r="F139" s="8"/>
      <c r="G139" s="8"/>
      <c r="H139" s="8"/>
      <c r="M139" s="8"/>
      <c r="N139" s="8"/>
      <c r="O139" s="8"/>
      <c r="P139" s="8"/>
      <c r="Q139" s="8"/>
      <c r="R139" s="8"/>
    </row>
    <row r="140" spans="6:18" x14ac:dyDescent="0.3">
      <c r="F140" s="8"/>
      <c r="G140" s="8"/>
      <c r="H140" s="8"/>
      <c r="M140" s="8"/>
      <c r="N140" s="8"/>
      <c r="O140" s="8"/>
      <c r="P140" s="8"/>
      <c r="Q140" s="8"/>
      <c r="R140" s="8"/>
    </row>
    <row r="141" spans="6:18" x14ac:dyDescent="0.3">
      <c r="F141" s="8"/>
      <c r="G141" s="8"/>
      <c r="H141" s="8"/>
      <c r="M141" s="8"/>
      <c r="N141" s="8"/>
      <c r="O141" s="8"/>
      <c r="P141" s="8"/>
      <c r="Q141" s="8"/>
      <c r="R141" s="8"/>
    </row>
    <row r="142" spans="6:18" x14ac:dyDescent="0.3">
      <c r="F142" s="8"/>
      <c r="G142" s="8"/>
      <c r="H142" s="8"/>
      <c r="M142" s="8"/>
      <c r="N142" s="8"/>
      <c r="O142" s="8"/>
      <c r="P142" s="8"/>
      <c r="Q142" s="8"/>
      <c r="R142" s="8"/>
    </row>
    <row r="143" spans="6:18" x14ac:dyDescent="0.3">
      <c r="F143" s="8"/>
      <c r="G143" s="8"/>
      <c r="H143" s="8"/>
      <c r="M143" s="8"/>
      <c r="N143" s="8"/>
      <c r="O143" s="8"/>
      <c r="P143" s="8"/>
      <c r="Q143" s="8"/>
      <c r="R143" s="8"/>
    </row>
    <row r="144" spans="6:18" x14ac:dyDescent="0.3">
      <c r="F144" s="8"/>
      <c r="G144" s="8"/>
      <c r="H144" s="8"/>
      <c r="M144" s="8"/>
      <c r="N144" s="8"/>
      <c r="O144" s="8"/>
      <c r="P144" s="8"/>
      <c r="Q144" s="8"/>
      <c r="R144" s="8"/>
    </row>
    <row r="145" spans="6:18" x14ac:dyDescent="0.3">
      <c r="F145" s="8"/>
      <c r="G145" s="8"/>
      <c r="H145" s="8"/>
      <c r="M145" s="8"/>
      <c r="N145" s="8"/>
      <c r="O145" s="8"/>
      <c r="P145" s="8"/>
      <c r="Q145" s="8"/>
      <c r="R145" s="8"/>
    </row>
    <row r="146" spans="6:18" x14ac:dyDescent="0.3">
      <c r="F146" s="8"/>
      <c r="G146" s="8"/>
      <c r="H146" s="8"/>
      <c r="M146" s="8"/>
      <c r="N146" s="8"/>
      <c r="O146" s="8"/>
      <c r="P146" s="8"/>
      <c r="Q146" s="8"/>
      <c r="R146" s="8"/>
    </row>
    <row r="147" spans="6:18" x14ac:dyDescent="0.3">
      <c r="F147" s="8"/>
      <c r="G147" s="8"/>
      <c r="H147" s="8"/>
      <c r="M147" s="8"/>
      <c r="N147" s="8"/>
      <c r="O147" s="8"/>
      <c r="P147" s="8"/>
      <c r="Q147" s="8"/>
      <c r="R147" s="8"/>
    </row>
    <row r="148" spans="6:18" x14ac:dyDescent="0.3">
      <c r="F148" s="8"/>
      <c r="G148" s="8"/>
      <c r="H148" s="8"/>
      <c r="M148" s="8"/>
      <c r="N148" s="8"/>
      <c r="O148" s="8"/>
      <c r="P148" s="8"/>
      <c r="Q148" s="8"/>
      <c r="R148" s="8"/>
    </row>
    <row r="149" spans="6:18" x14ac:dyDescent="0.3">
      <c r="F149" s="8"/>
      <c r="G149" s="8"/>
      <c r="H149" s="8"/>
      <c r="M149" s="8"/>
      <c r="N149" s="8"/>
      <c r="O149" s="8"/>
      <c r="P149" s="8"/>
      <c r="Q149" s="8"/>
      <c r="R149" s="8"/>
    </row>
    <row r="150" spans="6:18" x14ac:dyDescent="0.3">
      <c r="F150" s="8"/>
      <c r="G150" s="8"/>
      <c r="H150" s="8"/>
      <c r="M150" s="8"/>
      <c r="N150" s="8"/>
      <c r="O150" s="8"/>
      <c r="P150" s="8"/>
      <c r="Q150" s="8"/>
      <c r="R150" s="8"/>
    </row>
    <row r="151" spans="6:18" x14ac:dyDescent="0.3">
      <c r="F151" s="8"/>
      <c r="G151" s="8"/>
      <c r="H151" s="8"/>
      <c r="M151" s="8"/>
      <c r="N151" s="8"/>
      <c r="O151" s="8"/>
      <c r="P151" s="8"/>
      <c r="Q151" s="8"/>
      <c r="R151" s="8"/>
    </row>
    <row r="152" spans="6:18" x14ac:dyDescent="0.3">
      <c r="F152" s="8"/>
      <c r="G152" s="8"/>
      <c r="H152" s="8"/>
      <c r="M152" s="8"/>
      <c r="N152" s="8"/>
      <c r="O152" s="8"/>
      <c r="P152" s="8"/>
      <c r="Q152" s="8"/>
      <c r="R152" s="8"/>
    </row>
    <row r="153" spans="6:18" x14ac:dyDescent="0.3">
      <c r="F153" s="8"/>
      <c r="G153" s="8"/>
      <c r="H153" s="8"/>
      <c r="M153" s="8"/>
      <c r="N153" s="8"/>
      <c r="O153" s="8"/>
      <c r="P153" s="8"/>
      <c r="Q153" s="8"/>
      <c r="R153" s="8"/>
    </row>
    <row r="154" spans="6:18" x14ac:dyDescent="0.3">
      <c r="F154" s="8"/>
      <c r="G154" s="8"/>
      <c r="H154" s="8"/>
      <c r="M154" s="8"/>
      <c r="N154" s="8"/>
      <c r="O154" s="8"/>
      <c r="P154" s="8"/>
      <c r="Q154" s="8"/>
      <c r="R154" s="8"/>
    </row>
    <row r="155" spans="6:18" x14ac:dyDescent="0.3">
      <c r="F155" s="8"/>
      <c r="G155" s="8"/>
      <c r="H155" s="8"/>
      <c r="M155" s="8"/>
      <c r="N155" s="8"/>
      <c r="O155" s="8"/>
      <c r="P155" s="8"/>
      <c r="Q155" s="8"/>
      <c r="R155" s="8"/>
    </row>
    <row r="156" spans="6:18" x14ac:dyDescent="0.3">
      <c r="F156" s="8"/>
      <c r="G156" s="8"/>
      <c r="H156" s="8"/>
      <c r="M156" s="8"/>
      <c r="N156" s="8"/>
      <c r="O156" s="8"/>
      <c r="P156" s="8"/>
      <c r="Q156" s="8"/>
      <c r="R156" s="8"/>
    </row>
    <row r="157" spans="6:18" x14ac:dyDescent="0.3">
      <c r="F157" s="8"/>
      <c r="G157" s="8"/>
      <c r="H157" s="8"/>
      <c r="M157" s="8"/>
      <c r="N157" s="8"/>
      <c r="O157" s="8"/>
      <c r="P157" s="8"/>
      <c r="Q157" s="8"/>
      <c r="R157" s="8"/>
    </row>
  </sheetData>
  <mergeCells count="4">
    <mergeCell ref="A33:H33"/>
    <mergeCell ref="M9:R9"/>
    <mergeCell ref="C9:D9"/>
    <mergeCell ref="E9:G9"/>
  </mergeCells>
  <pageMargins left="0.7" right="0.7" top="0.75" bottom="0.75" header="0.3" footer="0.3"/>
  <pageSetup paperSize="9"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3">
    <tabColor rgb="FFFF0000"/>
  </sheetPr>
  <dimension ref="A1:R23"/>
  <sheetViews>
    <sheetView showGridLines="0" view="pageLayout" zoomScaleNormal="100" workbookViewId="0">
      <selection activeCell="G5" sqref="G5"/>
    </sheetView>
  </sheetViews>
  <sheetFormatPr baseColWidth="10" defaultRowHeight="12.45" x14ac:dyDescent="0.3"/>
  <cols>
    <col min="2" max="2" width="24" customWidth="1"/>
    <col min="5" max="5" width="11.4609375" style="412"/>
  </cols>
  <sheetData>
    <row r="1" spans="1:18" x14ac:dyDescent="0.3">
      <c r="A1" s="107" t="s">
        <v>135</v>
      </c>
      <c r="B1" s="107"/>
    </row>
    <row r="4" spans="1:18" x14ac:dyDescent="0.3">
      <c r="A4" s="149" t="s">
        <v>264</v>
      </c>
    </row>
    <row r="5" spans="1:18" ht="12.9" thickBot="1" x14ac:dyDescent="0.35"/>
    <row r="6" spans="1:18" ht="35.15" thickBot="1" x14ac:dyDescent="0.35">
      <c r="A6" s="82" t="s">
        <v>2</v>
      </c>
      <c r="B6" s="172" t="s">
        <v>3</v>
      </c>
      <c r="C6" s="172" t="s">
        <v>266</v>
      </c>
      <c r="D6" s="172" t="s">
        <v>267</v>
      </c>
      <c r="E6" s="172" t="s">
        <v>265</v>
      </c>
      <c r="F6" s="172" t="s">
        <v>322</v>
      </c>
    </row>
    <row r="7" spans="1:18" ht="12.9" x14ac:dyDescent="0.35">
      <c r="A7" s="173">
        <v>1</v>
      </c>
      <c r="B7" s="174" t="s">
        <v>14</v>
      </c>
      <c r="C7" s="119">
        <v>1</v>
      </c>
      <c r="D7" s="1415">
        <v>0</v>
      </c>
      <c r="E7" s="1415">
        <v>0</v>
      </c>
      <c r="F7" s="1592">
        <v>1</v>
      </c>
    </row>
    <row r="8" spans="1:18" ht="12.9" x14ac:dyDescent="0.35">
      <c r="A8" s="170">
        <v>2</v>
      </c>
      <c r="B8" s="175" t="s">
        <v>15</v>
      </c>
      <c r="C8" s="120">
        <v>1</v>
      </c>
      <c r="D8" s="1419">
        <v>1</v>
      </c>
      <c r="E8" s="1419">
        <v>0</v>
      </c>
      <c r="F8" s="1593">
        <v>2.6</v>
      </c>
    </row>
    <row r="9" spans="1:18" ht="12.9" x14ac:dyDescent="0.35">
      <c r="A9" s="170">
        <v>3</v>
      </c>
      <c r="B9" s="175" t="s">
        <v>16</v>
      </c>
      <c r="C9" s="120">
        <v>1</v>
      </c>
      <c r="D9" s="1419">
        <v>0</v>
      </c>
      <c r="E9" s="1419">
        <v>0</v>
      </c>
      <c r="F9" s="1593">
        <v>1</v>
      </c>
    </row>
    <row r="10" spans="1:18" ht="12.9" x14ac:dyDescent="0.35">
      <c r="A10" s="170">
        <v>4</v>
      </c>
      <c r="B10" s="175" t="s">
        <v>17</v>
      </c>
      <c r="C10" s="120">
        <v>0</v>
      </c>
      <c r="D10" s="1419">
        <v>1</v>
      </c>
      <c r="E10" s="1419">
        <v>0</v>
      </c>
      <c r="F10" s="1593">
        <v>1</v>
      </c>
    </row>
    <row r="11" spans="1:18" ht="12.9" x14ac:dyDescent="0.35">
      <c r="A11" s="170">
        <v>5</v>
      </c>
      <c r="B11" s="175" t="s">
        <v>18</v>
      </c>
      <c r="C11" s="120">
        <v>1</v>
      </c>
      <c r="D11" s="1419">
        <v>1</v>
      </c>
      <c r="E11" s="1419">
        <v>0</v>
      </c>
      <c r="F11" s="1593">
        <v>1</v>
      </c>
    </row>
    <row r="12" spans="1:18" ht="12.9" x14ac:dyDescent="0.35">
      <c r="A12" s="170">
        <v>6</v>
      </c>
      <c r="B12" s="175" t="s">
        <v>19</v>
      </c>
      <c r="C12" s="120">
        <v>1</v>
      </c>
      <c r="D12" s="1419">
        <v>0</v>
      </c>
      <c r="E12" s="1419">
        <v>0</v>
      </c>
      <c r="F12" s="1593">
        <v>1</v>
      </c>
    </row>
    <row r="13" spans="1:18" ht="12.9" x14ac:dyDescent="0.35">
      <c r="A13" s="170">
        <v>7</v>
      </c>
      <c r="B13" s="175" t="s">
        <v>20</v>
      </c>
      <c r="C13" s="120">
        <v>1</v>
      </c>
      <c r="D13" s="1419">
        <v>0</v>
      </c>
      <c r="E13" s="1419">
        <v>0</v>
      </c>
      <c r="F13" s="1593">
        <v>1</v>
      </c>
    </row>
    <row r="14" spans="1:18" ht="12.9" x14ac:dyDescent="0.35">
      <c r="A14" s="170">
        <v>8</v>
      </c>
      <c r="B14" s="175" t="s">
        <v>21</v>
      </c>
      <c r="C14" s="120">
        <v>0</v>
      </c>
      <c r="D14" s="1419">
        <v>1</v>
      </c>
      <c r="E14" s="1419">
        <v>0</v>
      </c>
      <c r="F14" s="1593">
        <v>1</v>
      </c>
      <c r="R14" t="s">
        <v>108</v>
      </c>
    </row>
    <row r="15" spans="1:18" ht="12.9" x14ac:dyDescent="0.35">
      <c r="A15" s="170">
        <v>9</v>
      </c>
      <c r="B15" s="175" t="s">
        <v>22</v>
      </c>
      <c r="C15" s="120">
        <v>0</v>
      </c>
      <c r="D15" s="1419">
        <v>1</v>
      </c>
      <c r="E15" s="1419">
        <v>0</v>
      </c>
      <c r="F15" s="1593">
        <v>1</v>
      </c>
    </row>
    <row r="16" spans="1:18" ht="12.9" x14ac:dyDescent="0.35">
      <c r="A16" s="170">
        <v>10</v>
      </c>
      <c r="B16" s="175" t="s">
        <v>23</v>
      </c>
      <c r="C16" s="120">
        <v>0</v>
      </c>
      <c r="D16" s="1419">
        <v>1</v>
      </c>
      <c r="E16" s="1419">
        <v>0</v>
      </c>
      <c r="F16" s="1593">
        <v>1</v>
      </c>
    </row>
    <row r="17" spans="1:10" ht="12.9" x14ac:dyDescent="0.35">
      <c r="A17" s="170">
        <v>11</v>
      </c>
      <c r="B17" s="175" t="s">
        <v>24</v>
      </c>
      <c r="C17" s="120">
        <v>0</v>
      </c>
      <c r="D17" s="1419">
        <v>2</v>
      </c>
      <c r="E17" s="1419">
        <v>0</v>
      </c>
      <c r="F17" s="1593">
        <v>2</v>
      </c>
    </row>
    <row r="18" spans="1:10" ht="12.9" x14ac:dyDescent="0.35">
      <c r="A18" s="170">
        <v>12</v>
      </c>
      <c r="B18" s="175" t="s">
        <v>25</v>
      </c>
      <c r="C18" s="120">
        <v>2</v>
      </c>
      <c r="D18" s="1419">
        <v>0</v>
      </c>
      <c r="E18" s="1419">
        <v>0</v>
      </c>
      <c r="F18" s="1593">
        <v>1</v>
      </c>
    </row>
    <row r="19" spans="1:10" ht="12.9" x14ac:dyDescent="0.35">
      <c r="A19" s="170">
        <v>13</v>
      </c>
      <c r="B19" s="175" t="s">
        <v>26</v>
      </c>
      <c r="C19" s="120">
        <v>1</v>
      </c>
      <c r="D19" s="1419">
        <v>0</v>
      </c>
      <c r="E19" s="1419">
        <v>0</v>
      </c>
      <c r="F19" s="1593">
        <v>1</v>
      </c>
    </row>
    <row r="20" spans="1:10" ht="12.9" x14ac:dyDescent="0.35">
      <c r="A20" s="170">
        <v>14</v>
      </c>
      <c r="B20" s="175" t="s">
        <v>27</v>
      </c>
      <c r="C20" s="120">
        <v>1</v>
      </c>
      <c r="D20" s="1419">
        <v>0</v>
      </c>
      <c r="E20" s="1419">
        <v>0</v>
      </c>
      <c r="F20" s="1593">
        <v>1</v>
      </c>
      <c r="J20" t="s">
        <v>108</v>
      </c>
    </row>
    <row r="21" spans="1:10" ht="13.3" thickBot="1" x14ac:dyDescent="0.4">
      <c r="A21" s="171">
        <v>15</v>
      </c>
      <c r="B21" s="176" t="s">
        <v>320</v>
      </c>
      <c r="C21" s="121">
        <v>0</v>
      </c>
      <c r="D21" s="1423">
        <v>1</v>
      </c>
      <c r="E21" s="1423">
        <v>0</v>
      </c>
      <c r="F21" s="1594">
        <v>0.4</v>
      </c>
    </row>
    <row r="22" spans="1:10" ht="12.9" thickBot="1" x14ac:dyDescent="0.35">
      <c r="A22" s="177"/>
      <c r="B22" s="178" t="s">
        <v>595</v>
      </c>
      <c r="C22" s="179">
        <f>SUM(C7:C21)</f>
        <v>10</v>
      </c>
      <c r="D22" s="179">
        <f>SUM(D7:D21)</f>
        <v>9</v>
      </c>
      <c r="E22" s="179">
        <f>SUM(E7:E21)</f>
        <v>0</v>
      </c>
      <c r="F22" s="1595">
        <f>SUM(F7:F21)</f>
        <v>17</v>
      </c>
    </row>
    <row r="23" spans="1:10" x14ac:dyDescent="0.3">
      <c r="A23" t="s">
        <v>321</v>
      </c>
    </row>
  </sheetData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/>
  <dimension ref="A1:AH35"/>
  <sheetViews>
    <sheetView zoomScaleNormal="100" workbookViewId="0">
      <selection activeCell="E1" sqref="E1"/>
    </sheetView>
  </sheetViews>
  <sheetFormatPr baseColWidth="10" defaultColWidth="11.3828125" defaultRowHeight="12.45" x14ac:dyDescent="0.3"/>
  <cols>
    <col min="1" max="1" width="25.3828125" style="704" customWidth="1"/>
    <col min="2" max="2" width="10.69140625" style="582" customWidth="1"/>
    <col min="3" max="19" width="8.69140625" style="583" customWidth="1"/>
    <col min="20" max="20" width="5.53515625" style="704" customWidth="1"/>
    <col min="21" max="27" width="8.3046875" style="704" customWidth="1"/>
    <col min="28" max="28" width="4.69140625" style="704" customWidth="1"/>
    <col min="29" max="34" width="7.69140625" style="704" customWidth="1"/>
    <col min="35" max="16384" width="11.3828125" style="704"/>
  </cols>
  <sheetData>
    <row r="1" spans="1:27" x14ac:dyDescent="0.3">
      <c r="A1" s="566" t="s">
        <v>596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702"/>
      <c r="O1" s="702"/>
      <c r="P1" s="703" t="s">
        <v>597</v>
      </c>
      <c r="Q1" s="702"/>
      <c r="R1" s="702"/>
      <c r="S1" s="702"/>
    </row>
    <row r="2" spans="1:27" x14ac:dyDescent="0.3">
      <c r="A2" s="567" t="s">
        <v>108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U2" s="705" t="s">
        <v>341</v>
      </c>
    </row>
    <row r="3" spans="1:27" s="584" customFormat="1" ht="18" customHeight="1" x14ac:dyDescent="0.3">
      <c r="A3" s="569"/>
      <c r="B3" s="570" t="s">
        <v>71</v>
      </c>
      <c r="C3" s="571" t="s">
        <v>72</v>
      </c>
      <c r="D3" s="571" t="s">
        <v>73</v>
      </c>
      <c r="E3" s="571" t="s">
        <v>74</v>
      </c>
      <c r="F3" s="571" t="s">
        <v>75</v>
      </c>
      <c r="G3" s="571" t="s">
        <v>76</v>
      </c>
      <c r="H3" s="571" t="s">
        <v>77</v>
      </c>
      <c r="I3" s="571" t="s">
        <v>78</v>
      </c>
      <c r="J3" s="571" t="s">
        <v>79</v>
      </c>
      <c r="K3" s="571" t="s">
        <v>80</v>
      </c>
      <c r="L3" s="571" t="s">
        <v>81</v>
      </c>
      <c r="M3" s="571" t="s">
        <v>82</v>
      </c>
      <c r="N3" s="571" t="s">
        <v>7</v>
      </c>
      <c r="O3" s="571" t="s">
        <v>8</v>
      </c>
      <c r="P3" s="571" t="s">
        <v>9</v>
      </c>
      <c r="Q3" s="571" t="s">
        <v>10</v>
      </c>
      <c r="R3" s="571" t="s">
        <v>324</v>
      </c>
      <c r="S3" s="571" t="s">
        <v>325</v>
      </c>
      <c r="U3" s="571" t="s">
        <v>7</v>
      </c>
      <c r="V3" s="571" t="s">
        <v>8</v>
      </c>
      <c r="W3" s="571" t="s">
        <v>9</v>
      </c>
      <c r="X3" s="571" t="s">
        <v>10</v>
      </c>
      <c r="Y3" s="571" t="s">
        <v>324</v>
      </c>
      <c r="Z3" s="571" t="s">
        <v>325</v>
      </c>
      <c r="AA3" s="571" t="s">
        <v>11</v>
      </c>
    </row>
    <row r="4" spans="1:27" ht="18" customHeight="1" x14ac:dyDescent="0.3">
      <c r="A4" s="572" t="s">
        <v>83</v>
      </c>
      <c r="B4" s="573">
        <f>SUM(B5:B20)</f>
        <v>693542</v>
      </c>
      <c r="C4" s="574">
        <f>SUM(C5:C20)</f>
        <v>9101</v>
      </c>
      <c r="D4" s="574">
        <f>SUM(D5:D20)</f>
        <v>40533</v>
      </c>
      <c r="E4" s="574">
        <f t="shared" ref="E4:S4" si="0">SUM(E5:E20)</f>
        <v>51241</v>
      </c>
      <c r="F4" s="574">
        <f t="shared" si="0"/>
        <v>19755</v>
      </c>
      <c r="G4" s="574">
        <f t="shared" si="0"/>
        <v>12498</v>
      </c>
      <c r="H4" s="574">
        <f t="shared" si="0"/>
        <v>12793</v>
      </c>
      <c r="I4" s="574">
        <f t="shared" si="0"/>
        <v>46799</v>
      </c>
      <c r="J4" s="574">
        <f t="shared" si="0"/>
        <v>74716</v>
      </c>
      <c r="K4" s="574">
        <f t="shared" si="0"/>
        <v>133176</v>
      </c>
      <c r="L4" s="574">
        <f t="shared" si="0"/>
        <v>96476</v>
      </c>
      <c r="M4" s="574">
        <f t="shared" si="0"/>
        <v>119992</v>
      </c>
      <c r="N4" s="574">
        <f t="shared" si="0"/>
        <v>39164</v>
      </c>
      <c r="O4" s="574">
        <f t="shared" si="0"/>
        <v>15947</v>
      </c>
      <c r="P4" s="574">
        <f t="shared" si="0"/>
        <v>9920</v>
      </c>
      <c r="Q4" s="574">
        <f t="shared" si="0"/>
        <v>6566</v>
      </c>
      <c r="R4" s="574">
        <f t="shared" si="0"/>
        <v>3486</v>
      </c>
      <c r="S4" s="574">
        <f t="shared" si="0"/>
        <v>1379</v>
      </c>
      <c r="U4" s="574">
        <f>SUM(U5:U19)</f>
        <v>28</v>
      </c>
      <c r="V4" s="574">
        <f t="shared" ref="V4:Z4" si="1">SUM(V5:V19)</f>
        <v>16</v>
      </c>
      <c r="W4" s="574">
        <f t="shared" si="1"/>
        <v>10</v>
      </c>
      <c r="X4" s="574">
        <f t="shared" si="1"/>
        <v>5</v>
      </c>
      <c r="Y4" s="574">
        <f t="shared" si="1"/>
        <v>1</v>
      </c>
      <c r="Z4" s="574">
        <f t="shared" si="1"/>
        <v>4</v>
      </c>
      <c r="AA4" s="574">
        <f>SUM(U4:Z4)</f>
        <v>64</v>
      </c>
    </row>
    <row r="5" spans="1:27" s="60" customFormat="1" ht="18" customHeight="1" x14ac:dyDescent="0.3">
      <c r="A5" s="575" t="s">
        <v>84</v>
      </c>
      <c r="B5" s="576">
        <f>SUM(C5:S5)</f>
        <v>58713</v>
      </c>
      <c r="C5" s="577">
        <f>'[4]FØR korreksjon befolkning 67+'!C5</f>
        <v>962</v>
      </c>
      <c r="D5" s="577">
        <f>'[4]FØR korreksjon befolkning 67+'!D5</f>
        <v>3618</v>
      </c>
      <c r="E5" s="577">
        <f>'[4]FØR korreksjon befolkning 67+'!E5</f>
        <v>3365</v>
      </c>
      <c r="F5" s="577">
        <f>'[4]FØR korreksjon befolkning 67+'!F5</f>
        <v>1056</v>
      </c>
      <c r="G5" s="577">
        <f>'[4]FØR korreksjon befolkning 67+'!G5</f>
        <v>639</v>
      </c>
      <c r="H5" s="577">
        <f>'[4]FØR korreksjon befolkning 67+'!H5</f>
        <v>717</v>
      </c>
      <c r="I5" s="577">
        <f>'[4]FØR korreksjon befolkning 67+'!I5</f>
        <v>3705</v>
      </c>
      <c r="J5" s="577">
        <f>'[4]FØR korreksjon befolkning 67+'!J5</f>
        <v>8350</v>
      </c>
      <c r="K5" s="577">
        <f>'[4]FØR korreksjon befolkning 67+'!K5</f>
        <v>15878</v>
      </c>
      <c r="L5" s="577">
        <f>'[4]FØR korreksjon befolkning 67+'!L5</f>
        <v>8580</v>
      </c>
      <c r="M5" s="577">
        <f>'[4]FØR korreksjon befolkning 67+'!M5</f>
        <v>8299</v>
      </c>
      <c r="N5" s="706">
        <f>'[4]FØR korreksjon befolkning 67+'!N5+'[4] ETTER korreksjon befolkn 67+'!U5</f>
        <v>2157</v>
      </c>
      <c r="O5" s="706">
        <f>'[4]FØR korreksjon befolkning 67+'!O5+'[4] ETTER korreksjon befolkn 67+'!V5</f>
        <v>664</v>
      </c>
      <c r="P5" s="706">
        <f>'[4]FØR korreksjon befolkning 67+'!P5+'[4] ETTER korreksjon befolkn 67+'!W5</f>
        <v>338</v>
      </c>
      <c r="Q5" s="706">
        <f>'[4]FØR korreksjon befolkning 67+'!Q5+'[4] ETTER korreksjon befolkn 67+'!X5</f>
        <v>207</v>
      </c>
      <c r="R5" s="706">
        <f>'[4]FØR korreksjon befolkning 67+'!R5+'[4] ETTER korreksjon befolkn 67+'!Y5</f>
        <v>122</v>
      </c>
      <c r="S5" s="706">
        <f>'[4]FØR korreksjon befolkning 67+'!S5+'[4] ETTER korreksjon befolkn 67+'!Z5</f>
        <v>56</v>
      </c>
      <c r="U5" s="704">
        <v>7</v>
      </c>
      <c r="V5" s="704">
        <v>-1</v>
      </c>
      <c r="W5" s="704">
        <v>13</v>
      </c>
      <c r="X5" s="704">
        <v>7</v>
      </c>
      <c r="Y5" s="704">
        <v>11</v>
      </c>
      <c r="Z5" s="704">
        <v>5</v>
      </c>
      <c r="AA5" s="585">
        <f>SUM(U5:Z5)</f>
        <v>42</v>
      </c>
    </row>
    <row r="6" spans="1:27" s="60" customFormat="1" x14ac:dyDescent="0.3">
      <c r="A6" s="575" t="s">
        <v>85</v>
      </c>
      <c r="B6" s="576">
        <f t="shared" ref="B6:B20" si="2">SUM(C6:S6)</f>
        <v>62409</v>
      </c>
      <c r="C6" s="577">
        <f>'[4]FØR korreksjon befolkning 67+'!C6</f>
        <v>1034</v>
      </c>
      <c r="D6" s="577">
        <f>'[4]FØR korreksjon befolkning 67+'!D6</f>
        <v>3319</v>
      </c>
      <c r="E6" s="577">
        <f>'[4]FØR korreksjon befolkning 67+'!E6</f>
        <v>2864</v>
      </c>
      <c r="F6" s="577">
        <f>'[4]FØR korreksjon befolkning 67+'!F6</f>
        <v>932</v>
      </c>
      <c r="G6" s="577">
        <f>'[4]FØR korreksjon befolkning 67+'!G6</f>
        <v>573</v>
      </c>
      <c r="H6" s="577">
        <f>'[4]FØR korreksjon befolkning 67+'!H6</f>
        <v>691</v>
      </c>
      <c r="I6" s="577">
        <f>'[4]FØR korreksjon befolkning 67+'!I6</f>
        <v>5351</v>
      </c>
      <c r="J6" s="577">
        <f>'[4]FØR korreksjon befolkning 67+'!J6</f>
        <v>11669</v>
      </c>
      <c r="K6" s="577">
        <f>'[4]FØR korreksjon befolkning 67+'!K6</f>
        <v>17430</v>
      </c>
      <c r="L6" s="577">
        <f>'[4]FØR korreksjon befolkning 67+'!L6</f>
        <v>8042</v>
      </c>
      <c r="M6" s="577">
        <f>'[4]FØR korreksjon befolkning 67+'!M6</f>
        <v>7315</v>
      </c>
      <c r="N6" s="706">
        <f>'[4]FØR korreksjon befolkning 67+'!N6+'[4] ETTER korreksjon befolkn 67+'!U6</f>
        <v>1867</v>
      </c>
      <c r="O6" s="706">
        <f>'[4]FØR korreksjon befolkning 67+'!O6+'[4] ETTER korreksjon befolkn 67+'!V6</f>
        <v>668</v>
      </c>
      <c r="P6" s="706">
        <f>'[4]FØR korreksjon befolkning 67+'!P6+'[4] ETTER korreksjon befolkn 67+'!W6</f>
        <v>303</v>
      </c>
      <c r="Q6" s="706">
        <f>'[4]FØR korreksjon befolkning 67+'!Q6+'[4] ETTER korreksjon befolkn 67+'!X6</f>
        <v>179</v>
      </c>
      <c r="R6" s="706">
        <f>'[4]FØR korreksjon befolkning 67+'!R6+'[4] ETTER korreksjon befolkn 67+'!Y6</f>
        <v>112</v>
      </c>
      <c r="S6" s="706">
        <f>'[4]FØR korreksjon befolkning 67+'!S6+'[4] ETTER korreksjon befolkn 67+'!Z6</f>
        <v>60</v>
      </c>
      <c r="U6" s="704">
        <v>3</v>
      </c>
      <c r="V6" s="704">
        <v>2</v>
      </c>
      <c r="W6" s="704">
        <v>4</v>
      </c>
      <c r="X6" s="704">
        <v>-6</v>
      </c>
      <c r="Y6" s="704">
        <v>-11</v>
      </c>
      <c r="Z6" s="704">
        <v>-6</v>
      </c>
      <c r="AA6" s="585">
        <f t="shared" ref="AA6:AA19" si="3">SUM(U6:Z6)</f>
        <v>-14</v>
      </c>
    </row>
    <row r="7" spans="1:27" s="60" customFormat="1" x14ac:dyDescent="0.3">
      <c r="A7" s="575" t="s">
        <v>86</v>
      </c>
      <c r="B7" s="576">
        <f t="shared" si="2"/>
        <v>45053</v>
      </c>
      <c r="C7" s="577">
        <f>'[4]FØR korreksjon befolkning 67+'!C7</f>
        <v>798</v>
      </c>
      <c r="D7" s="577">
        <f>'[4]FØR korreksjon befolkning 67+'!D7</f>
        <v>2554</v>
      </c>
      <c r="E7" s="577">
        <f>'[4]FØR korreksjon befolkning 67+'!E7</f>
        <v>1921</v>
      </c>
      <c r="F7" s="577">
        <f>'[4]FØR korreksjon befolkning 67+'!F7</f>
        <v>570</v>
      </c>
      <c r="G7" s="577">
        <f>'[4]FØR korreksjon befolkning 67+'!G7</f>
        <v>379</v>
      </c>
      <c r="H7" s="577">
        <f>'[4]FØR korreksjon befolkning 67+'!H7</f>
        <v>420</v>
      </c>
      <c r="I7" s="577">
        <f>'[4]FØR korreksjon befolkning 67+'!I7</f>
        <v>3634</v>
      </c>
      <c r="J7" s="577">
        <f>'[4]FØR korreksjon befolkning 67+'!J7</f>
        <v>8176</v>
      </c>
      <c r="K7" s="577">
        <f>'[4]FØR korreksjon befolkning 67+'!K7</f>
        <v>12551</v>
      </c>
      <c r="L7" s="577">
        <f>'[4]FØR korreksjon befolkning 67+'!L7</f>
        <v>5470</v>
      </c>
      <c r="M7" s="577">
        <f>'[4]FØR korreksjon befolkning 67+'!M7</f>
        <v>5577</v>
      </c>
      <c r="N7" s="706">
        <f>'[4]FØR korreksjon befolkning 67+'!N7+'[4] ETTER korreksjon befolkn 67+'!U7</f>
        <v>1710</v>
      </c>
      <c r="O7" s="706">
        <f>'[4]FØR korreksjon befolkning 67+'!O7+'[4] ETTER korreksjon befolkn 67+'!V7</f>
        <v>634</v>
      </c>
      <c r="P7" s="706">
        <f>'[4]FØR korreksjon befolkning 67+'!P7+'[4] ETTER korreksjon befolkn 67+'!W7</f>
        <v>317</v>
      </c>
      <c r="Q7" s="706">
        <f>'[4]FØR korreksjon befolkning 67+'!Q7+'[4] ETTER korreksjon befolkn 67+'!X7</f>
        <v>181</v>
      </c>
      <c r="R7" s="706">
        <f>'[4]FØR korreksjon befolkning 67+'!R7+'[4] ETTER korreksjon befolkn 67+'!Y7</f>
        <v>95</v>
      </c>
      <c r="S7" s="706">
        <f>'[4]FØR korreksjon befolkning 67+'!S7+'[4] ETTER korreksjon befolkn 67+'!Z7</f>
        <v>66</v>
      </c>
      <c r="U7" s="704">
        <v>-12</v>
      </c>
      <c r="V7" s="704">
        <v>-6</v>
      </c>
      <c r="W7" s="704">
        <v>-2</v>
      </c>
      <c r="X7" s="704">
        <v>-5</v>
      </c>
      <c r="Y7" s="704">
        <v>-10</v>
      </c>
      <c r="Z7" s="704">
        <v>-1</v>
      </c>
      <c r="AA7" s="585">
        <f t="shared" si="3"/>
        <v>-36</v>
      </c>
    </row>
    <row r="8" spans="1:27" s="60" customFormat="1" x14ac:dyDescent="0.3">
      <c r="A8" s="575" t="s">
        <v>87</v>
      </c>
      <c r="B8" s="576">
        <f t="shared" si="2"/>
        <v>40321</v>
      </c>
      <c r="C8" s="577">
        <f>'[4]FØR korreksjon befolkning 67+'!C8</f>
        <v>542</v>
      </c>
      <c r="D8" s="577">
        <f>'[4]FØR korreksjon befolkning 67+'!D8</f>
        <v>1634</v>
      </c>
      <c r="E8" s="577">
        <f>'[4]FØR korreksjon befolkning 67+'!E8</f>
        <v>1641</v>
      </c>
      <c r="F8" s="577">
        <f>'[4]FØR korreksjon befolkning 67+'!F8</f>
        <v>517</v>
      </c>
      <c r="G8" s="577">
        <f>'[4]FØR korreksjon befolkning 67+'!G8</f>
        <v>378</v>
      </c>
      <c r="H8" s="577">
        <f>'[4]FØR korreksjon befolkning 67+'!H8</f>
        <v>455</v>
      </c>
      <c r="I8" s="577">
        <f>'[4]FØR korreksjon befolkning 67+'!I8</f>
        <v>4291</v>
      </c>
      <c r="J8" s="577">
        <f>'[4]FØR korreksjon befolkning 67+'!J8</f>
        <v>7891</v>
      </c>
      <c r="K8" s="577">
        <f>'[4]FØR korreksjon befolkning 67+'!K8</f>
        <v>10040</v>
      </c>
      <c r="L8" s="577">
        <f>'[4]FØR korreksjon befolkning 67+'!L8</f>
        <v>4863</v>
      </c>
      <c r="M8" s="577">
        <f>'[4]FØR korreksjon befolkning 67+'!M8</f>
        <v>5193</v>
      </c>
      <c r="N8" s="706">
        <f>'[4]FØR korreksjon befolkning 67+'!N8+'[4] ETTER korreksjon befolkn 67+'!U8</f>
        <v>1572</v>
      </c>
      <c r="O8" s="706">
        <f>'[4]FØR korreksjon befolkning 67+'!O8+'[4] ETTER korreksjon befolkn 67+'!V8</f>
        <v>583</v>
      </c>
      <c r="P8" s="706">
        <f>'[4]FØR korreksjon befolkning 67+'!P8+'[4] ETTER korreksjon befolkn 67+'!W8</f>
        <v>354</v>
      </c>
      <c r="Q8" s="706">
        <f>'[4]FØR korreksjon befolkning 67+'!Q8+'[4] ETTER korreksjon befolkn 67+'!X8</f>
        <v>194</v>
      </c>
      <c r="R8" s="706">
        <f>'[4]FØR korreksjon befolkning 67+'!R8+'[4] ETTER korreksjon befolkn 67+'!Y8</f>
        <v>99</v>
      </c>
      <c r="S8" s="706">
        <f>'[4]FØR korreksjon befolkning 67+'!S8+'[4] ETTER korreksjon befolkn 67+'!Z8</f>
        <v>74</v>
      </c>
      <c r="U8" s="704">
        <v>-7</v>
      </c>
      <c r="V8" s="704">
        <v>-8</v>
      </c>
      <c r="W8" s="704">
        <v>-15</v>
      </c>
      <c r="X8" s="704">
        <v>-25</v>
      </c>
      <c r="Y8" s="704">
        <v>-20</v>
      </c>
      <c r="Z8" s="704">
        <v>-20</v>
      </c>
      <c r="AA8" s="585">
        <f t="shared" si="3"/>
        <v>-95</v>
      </c>
    </row>
    <row r="9" spans="1:27" s="60" customFormat="1" x14ac:dyDescent="0.3">
      <c r="A9" s="575" t="s">
        <v>88</v>
      </c>
      <c r="B9" s="576">
        <f t="shared" si="2"/>
        <v>59292</v>
      </c>
      <c r="C9" s="577">
        <f>'[4]FØR korreksjon befolkning 67+'!C9</f>
        <v>615</v>
      </c>
      <c r="D9" s="577">
        <f>'[4]FØR korreksjon befolkning 67+'!D9</f>
        <v>2233</v>
      </c>
      <c r="E9" s="577">
        <f>'[4]FØR korreksjon befolkning 67+'!E9</f>
        <v>2345</v>
      </c>
      <c r="F9" s="577">
        <f>'[4]FØR korreksjon befolkning 67+'!F9</f>
        <v>933</v>
      </c>
      <c r="G9" s="577">
        <f>'[4]FØR korreksjon befolkning 67+'!G9</f>
        <v>617</v>
      </c>
      <c r="H9" s="577">
        <f>'[4]FØR korreksjon befolkning 67+'!H9</f>
        <v>767</v>
      </c>
      <c r="I9" s="577">
        <f>'[4]FØR korreksjon befolkning 67+'!I9</f>
        <v>5197</v>
      </c>
      <c r="J9" s="577">
        <f>'[4]FØR korreksjon befolkning 67+'!J9</f>
        <v>9427</v>
      </c>
      <c r="K9" s="577">
        <f>'[4]FØR korreksjon befolkning 67+'!K9</f>
        <v>12034</v>
      </c>
      <c r="L9" s="577">
        <f>'[4]FØR korreksjon befolkning 67+'!L9</f>
        <v>6905</v>
      </c>
      <c r="M9" s="577">
        <f>'[4]FØR korreksjon befolkning 67+'!M9</f>
        <v>10493</v>
      </c>
      <c r="N9" s="706">
        <f>'[4]FØR korreksjon befolkning 67+'!N9+'[4] ETTER korreksjon befolkn 67+'!U9</f>
        <v>3917</v>
      </c>
      <c r="O9" s="706">
        <f>'[4]FØR korreksjon befolkning 67+'!O9+'[4] ETTER korreksjon befolkn 67+'!V9</f>
        <v>1729</v>
      </c>
      <c r="P9" s="706">
        <f>'[4]FØR korreksjon befolkning 67+'!P9+'[4] ETTER korreksjon befolkn 67+'!W9</f>
        <v>1053</v>
      </c>
      <c r="Q9" s="706">
        <f>'[4]FØR korreksjon befolkning 67+'!Q9+'[4] ETTER korreksjon befolkn 67+'!X9</f>
        <v>583</v>
      </c>
      <c r="R9" s="706">
        <f>'[4]FØR korreksjon befolkning 67+'!R9+'[4] ETTER korreksjon befolkn 67+'!Y9</f>
        <v>302</v>
      </c>
      <c r="S9" s="706">
        <f>'[4]FØR korreksjon befolkning 67+'!S9+'[4] ETTER korreksjon befolkn 67+'!Z9</f>
        <v>142</v>
      </c>
      <c r="U9" s="704">
        <v>6</v>
      </c>
      <c r="V9" s="704">
        <v>6</v>
      </c>
      <c r="W9" s="704">
        <v>3</v>
      </c>
      <c r="X9" s="704">
        <v>5</v>
      </c>
      <c r="Y9" s="704">
        <v>-7</v>
      </c>
      <c r="Z9" s="704">
        <v>10</v>
      </c>
      <c r="AA9" s="585">
        <f t="shared" si="3"/>
        <v>23</v>
      </c>
    </row>
    <row r="10" spans="1:27" s="60" customFormat="1" ht="18" customHeight="1" x14ac:dyDescent="0.3">
      <c r="A10" s="575" t="s">
        <v>89</v>
      </c>
      <c r="B10" s="576">
        <f t="shared" si="2"/>
        <v>34500</v>
      </c>
      <c r="C10" s="577">
        <f>'[4]FØR korreksjon befolkning 67+'!C10</f>
        <v>404</v>
      </c>
      <c r="D10" s="577">
        <f>'[4]FØR korreksjon befolkning 67+'!D10</f>
        <v>2084</v>
      </c>
      <c r="E10" s="577">
        <f>'[4]FØR korreksjon befolkning 67+'!E10</f>
        <v>2880</v>
      </c>
      <c r="F10" s="577">
        <f>'[4]FØR korreksjon befolkning 67+'!F10</f>
        <v>1170</v>
      </c>
      <c r="G10" s="577">
        <f>'[4]FØR korreksjon befolkning 67+'!G10</f>
        <v>721</v>
      </c>
      <c r="H10" s="577">
        <f>'[4]FØR korreksjon befolkning 67+'!H10</f>
        <v>681</v>
      </c>
      <c r="I10" s="577">
        <f>'[4]FØR korreksjon befolkning 67+'!I10</f>
        <v>1573</v>
      </c>
      <c r="J10" s="577">
        <f>'[4]FØR korreksjon befolkning 67+'!J10</f>
        <v>2097</v>
      </c>
      <c r="K10" s="577">
        <f>'[4]FØR korreksjon befolkning 67+'!K10</f>
        <v>5093</v>
      </c>
      <c r="L10" s="577">
        <f>'[4]FØR korreksjon befolkning 67+'!L10</f>
        <v>4777</v>
      </c>
      <c r="M10" s="577">
        <f>'[4]FØR korreksjon befolkning 67+'!M10</f>
        <v>6933</v>
      </c>
      <c r="N10" s="706">
        <f>'[4]FØR korreksjon befolkning 67+'!N10+'[4] ETTER korreksjon befolkn 67+'!U10</f>
        <v>3041</v>
      </c>
      <c r="O10" s="706">
        <f>'[4]FØR korreksjon befolkning 67+'!O10+'[4] ETTER korreksjon befolkn 67+'!V10</f>
        <v>1357</v>
      </c>
      <c r="P10" s="706">
        <f>'[4]FØR korreksjon befolkning 67+'!P10+'[4] ETTER korreksjon befolkn 67+'!W10</f>
        <v>803</v>
      </c>
      <c r="Q10" s="706">
        <f>'[4]FØR korreksjon befolkning 67+'!Q10+'[4] ETTER korreksjon befolkn 67+'!X10</f>
        <v>491</v>
      </c>
      <c r="R10" s="706">
        <f>'[4]FØR korreksjon befolkning 67+'!R10+'[4] ETTER korreksjon befolkn 67+'!Y10</f>
        <v>298</v>
      </c>
      <c r="S10" s="706">
        <f>'[4]FØR korreksjon befolkning 67+'!S10+'[4] ETTER korreksjon befolkn 67+'!Z10</f>
        <v>97</v>
      </c>
      <c r="U10" s="704">
        <v>-7</v>
      </c>
      <c r="V10" s="704">
        <v>-3</v>
      </c>
      <c r="W10" s="704">
        <v>-7</v>
      </c>
      <c r="X10" s="704">
        <v>-18</v>
      </c>
      <c r="Y10" s="704">
        <v>-14</v>
      </c>
      <c r="Z10" s="704">
        <v>-20</v>
      </c>
      <c r="AA10" s="585">
        <f t="shared" si="3"/>
        <v>-69</v>
      </c>
    </row>
    <row r="11" spans="1:27" s="60" customFormat="1" x14ac:dyDescent="0.3">
      <c r="A11" s="575" t="s">
        <v>90</v>
      </c>
      <c r="B11" s="576">
        <f t="shared" si="2"/>
        <v>50876</v>
      </c>
      <c r="C11" s="577">
        <f>'[4]FØR korreksjon befolkning 67+'!C11</f>
        <v>669</v>
      </c>
      <c r="D11" s="577">
        <f>'[4]FØR korreksjon befolkning 67+'!D11</f>
        <v>3481</v>
      </c>
      <c r="E11" s="577">
        <f>'[4]FØR korreksjon befolkning 67+'!E11</f>
        <v>4913</v>
      </c>
      <c r="F11" s="577">
        <f>'[4]FØR korreksjon befolkning 67+'!F11</f>
        <v>1929</v>
      </c>
      <c r="G11" s="577">
        <f>'[4]FØR korreksjon befolkning 67+'!G11</f>
        <v>1123</v>
      </c>
      <c r="H11" s="577">
        <f>'[4]FØR korreksjon befolkning 67+'!H11</f>
        <v>1157</v>
      </c>
      <c r="I11" s="577">
        <f>'[4]FØR korreksjon befolkning 67+'!I11</f>
        <v>2588</v>
      </c>
      <c r="J11" s="577">
        <f>'[4]FØR korreksjon befolkning 67+'!J11</f>
        <v>2902</v>
      </c>
      <c r="K11" s="577">
        <f>'[4]FØR korreksjon befolkning 67+'!K11</f>
        <v>7147</v>
      </c>
      <c r="L11" s="577">
        <f>'[4]FØR korreksjon befolkning 67+'!L11</f>
        <v>7380</v>
      </c>
      <c r="M11" s="577">
        <f>'[4]FØR korreksjon befolkning 67+'!M11</f>
        <v>9779</v>
      </c>
      <c r="N11" s="706">
        <f>'[4]FØR korreksjon befolkning 67+'!N11+'[4] ETTER korreksjon befolkn 67+'!U11</f>
        <v>4009</v>
      </c>
      <c r="O11" s="706">
        <f>'[4]FØR korreksjon befolkning 67+'!O11+'[4] ETTER korreksjon befolkn 67+'!V11</f>
        <v>1637</v>
      </c>
      <c r="P11" s="706">
        <f>'[4]FØR korreksjon befolkning 67+'!P11+'[4] ETTER korreksjon befolkn 67+'!W11</f>
        <v>1023</v>
      </c>
      <c r="Q11" s="706">
        <f>'[4]FØR korreksjon befolkning 67+'!Q11+'[4] ETTER korreksjon befolkn 67+'!X11</f>
        <v>643</v>
      </c>
      <c r="R11" s="706">
        <f>'[4]FØR korreksjon befolkning 67+'!R11+'[4] ETTER korreksjon befolkn 67+'!Y11</f>
        <v>354</v>
      </c>
      <c r="S11" s="706">
        <f>'[4]FØR korreksjon befolkning 67+'!S11+'[4] ETTER korreksjon befolkn 67+'!Z11</f>
        <v>142</v>
      </c>
      <c r="U11" s="704">
        <v>-3</v>
      </c>
      <c r="V11" s="704">
        <v>7</v>
      </c>
      <c r="W11" s="704">
        <v>0</v>
      </c>
      <c r="X11" s="704">
        <v>9</v>
      </c>
      <c r="Y11" s="704">
        <v>-11</v>
      </c>
      <c r="Z11" s="704">
        <v>16</v>
      </c>
      <c r="AA11" s="585">
        <f t="shared" si="3"/>
        <v>18</v>
      </c>
    </row>
    <row r="12" spans="1:27" s="60" customFormat="1" x14ac:dyDescent="0.3">
      <c r="A12" s="575" t="s">
        <v>91</v>
      </c>
      <c r="B12" s="576">
        <f t="shared" si="2"/>
        <v>53206</v>
      </c>
      <c r="C12" s="577">
        <f>'[4]FØR korreksjon befolkning 67+'!C12</f>
        <v>563</v>
      </c>
      <c r="D12" s="577">
        <f>'[4]FØR korreksjon befolkning 67+'!D12</f>
        <v>3153</v>
      </c>
      <c r="E12" s="577">
        <f>'[4]FØR korreksjon befolkning 67+'!E12</f>
        <v>4874</v>
      </c>
      <c r="F12" s="577">
        <f>'[4]FØR korreksjon befolkning 67+'!F12</f>
        <v>1946</v>
      </c>
      <c r="G12" s="577">
        <f>'[4]FØR korreksjon befolkning 67+'!G12</f>
        <v>1177</v>
      </c>
      <c r="H12" s="577">
        <f>'[4]FØR korreksjon befolkning 67+'!H12</f>
        <v>1214</v>
      </c>
      <c r="I12" s="577">
        <f>'[4]FØR korreksjon befolkning 67+'!I12</f>
        <v>4419</v>
      </c>
      <c r="J12" s="577">
        <f>'[4]FØR korreksjon befolkning 67+'!J12</f>
        <v>4307</v>
      </c>
      <c r="K12" s="577">
        <f>'[4]FØR korreksjon befolkning 67+'!K12</f>
        <v>7553</v>
      </c>
      <c r="L12" s="577">
        <f>'[4]FØR korreksjon befolkning 67+'!L12</f>
        <v>7679</v>
      </c>
      <c r="M12" s="577">
        <f>'[4]FØR korreksjon befolkning 67+'!M12</f>
        <v>9821</v>
      </c>
      <c r="N12" s="706">
        <f>'[4]FØR korreksjon befolkning 67+'!N12+'[4] ETTER korreksjon befolkn 67+'!U12</f>
        <v>3211</v>
      </c>
      <c r="O12" s="706">
        <f>'[4]FØR korreksjon befolkning 67+'!O12+'[4] ETTER korreksjon befolkn 67+'!V12</f>
        <v>1304</v>
      </c>
      <c r="P12" s="706">
        <f>'[4]FØR korreksjon befolkning 67+'!P12+'[4] ETTER korreksjon befolkn 67+'!W12</f>
        <v>878</v>
      </c>
      <c r="Q12" s="706">
        <f>'[4]FØR korreksjon befolkning 67+'!Q12+'[4] ETTER korreksjon befolkn 67+'!X12</f>
        <v>645</v>
      </c>
      <c r="R12" s="706">
        <f>'[4]FØR korreksjon befolkning 67+'!R12+'[4] ETTER korreksjon befolkn 67+'!Y12</f>
        <v>345</v>
      </c>
      <c r="S12" s="706">
        <f>'[4]FØR korreksjon befolkning 67+'!S12+'[4] ETTER korreksjon befolkn 67+'!Z12</f>
        <v>117</v>
      </c>
      <c r="U12" s="704">
        <v>8</v>
      </c>
      <c r="V12" s="704">
        <v>11</v>
      </c>
      <c r="W12" s="704">
        <v>12</v>
      </c>
      <c r="X12" s="704">
        <v>5</v>
      </c>
      <c r="Y12" s="704">
        <v>11</v>
      </c>
      <c r="Z12" s="704">
        <v>6</v>
      </c>
      <c r="AA12" s="585">
        <f t="shared" si="3"/>
        <v>53</v>
      </c>
    </row>
    <row r="13" spans="1:27" s="60" customFormat="1" x14ac:dyDescent="0.3">
      <c r="A13" s="575" t="s">
        <v>92</v>
      </c>
      <c r="B13" s="576">
        <f t="shared" si="2"/>
        <v>33491</v>
      </c>
      <c r="C13" s="577">
        <f>'[4]FØR korreksjon befolkning 67+'!C13</f>
        <v>481</v>
      </c>
      <c r="D13" s="577">
        <f>'[4]FØR korreksjon befolkning 67+'!D13</f>
        <v>2400</v>
      </c>
      <c r="E13" s="577">
        <f>'[4]FØR korreksjon befolkning 67+'!E13</f>
        <v>3109</v>
      </c>
      <c r="F13" s="577">
        <f>'[4]FØR korreksjon befolkning 67+'!F13</f>
        <v>1170</v>
      </c>
      <c r="G13" s="577">
        <f>'[4]FØR korreksjon befolkning 67+'!G13</f>
        <v>731</v>
      </c>
      <c r="H13" s="577">
        <f>'[4]FØR korreksjon befolkning 67+'!H13</f>
        <v>662</v>
      </c>
      <c r="I13" s="577">
        <f>'[4]FØR korreksjon befolkning 67+'!I13</f>
        <v>1756</v>
      </c>
      <c r="J13" s="577">
        <f>'[4]FØR korreksjon befolkning 67+'!J13</f>
        <v>2801</v>
      </c>
      <c r="K13" s="577">
        <f>'[4]FØR korreksjon befolkning 67+'!K13</f>
        <v>6395</v>
      </c>
      <c r="L13" s="577">
        <f>'[4]FØR korreksjon befolkning 67+'!L13</f>
        <v>5177</v>
      </c>
      <c r="M13" s="577">
        <f>'[4]FØR korreksjon befolkning 67+'!M13</f>
        <v>5498</v>
      </c>
      <c r="N13" s="706">
        <f>'[4]FØR korreksjon befolkning 67+'!N13+'[4] ETTER korreksjon befolkn 67+'!U13</f>
        <v>1612</v>
      </c>
      <c r="O13" s="706">
        <f>'[4]FØR korreksjon befolkning 67+'!O13+'[4] ETTER korreksjon befolkn 67+'!V13</f>
        <v>646</v>
      </c>
      <c r="P13" s="706">
        <f>'[4]FØR korreksjon befolkning 67+'!P13+'[4] ETTER korreksjon befolkn 67+'!W13</f>
        <v>441</v>
      </c>
      <c r="Q13" s="706">
        <f>'[4]FØR korreksjon befolkning 67+'!Q13+'[4] ETTER korreksjon befolkn 67+'!X13</f>
        <v>332</v>
      </c>
      <c r="R13" s="706">
        <f>'[4]FØR korreksjon befolkning 67+'!R13+'[4] ETTER korreksjon befolkn 67+'!Y13</f>
        <v>205</v>
      </c>
      <c r="S13" s="706">
        <f>'[4]FØR korreksjon befolkning 67+'!S13+'[4] ETTER korreksjon befolkn 67+'!Z13</f>
        <v>75</v>
      </c>
      <c r="U13" s="704">
        <v>4</v>
      </c>
      <c r="V13" s="704">
        <v>1</v>
      </c>
      <c r="W13" s="704">
        <v>5</v>
      </c>
      <c r="X13" s="704">
        <v>25</v>
      </c>
      <c r="Y13" s="704">
        <v>21</v>
      </c>
      <c r="Z13" s="704">
        <v>13</v>
      </c>
      <c r="AA13" s="585">
        <f t="shared" si="3"/>
        <v>69</v>
      </c>
    </row>
    <row r="14" spans="1:27" s="60" customFormat="1" x14ac:dyDescent="0.3">
      <c r="A14" s="575" t="s">
        <v>93</v>
      </c>
      <c r="B14" s="576">
        <f t="shared" si="2"/>
        <v>27630</v>
      </c>
      <c r="C14" s="577">
        <f>'[4]FØR korreksjon befolkning 67+'!C14</f>
        <v>295</v>
      </c>
      <c r="D14" s="577">
        <f>'[4]FØR korreksjon befolkning 67+'!D14</f>
        <v>1675</v>
      </c>
      <c r="E14" s="577">
        <f>'[4]FØR korreksjon befolkning 67+'!E14</f>
        <v>2231</v>
      </c>
      <c r="F14" s="577">
        <f>'[4]FØR korreksjon befolkning 67+'!F14</f>
        <v>959</v>
      </c>
      <c r="G14" s="577">
        <f>'[4]FØR korreksjon befolkning 67+'!G14</f>
        <v>639</v>
      </c>
      <c r="H14" s="577">
        <f>'[4]FØR korreksjon befolkning 67+'!H14</f>
        <v>616</v>
      </c>
      <c r="I14" s="577">
        <f>'[4]FØR korreksjon befolkning 67+'!I14</f>
        <v>1669</v>
      </c>
      <c r="J14" s="577">
        <f>'[4]FØR korreksjon befolkning 67+'!J14</f>
        <v>2088</v>
      </c>
      <c r="K14" s="577">
        <f>'[4]FØR korreksjon befolkning 67+'!K14</f>
        <v>4380</v>
      </c>
      <c r="L14" s="577">
        <f>'[4]FØR korreksjon befolkning 67+'!L14</f>
        <v>4002</v>
      </c>
      <c r="M14" s="577">
        <f>'[4]FØR korreksjon befolkning 67+'!M14</f>
        <v>5771</v>
      </c>
      <c r="N14" s="706">
        <f>'[4]FØR korreksjon befolkning 67+'!N14+'[4] ETTER korreksjon befolkn 67+'!U14</f>
        <v>1607</v>
      </c>
      <c r="O14" s="706">
        <f>'[4]FØR korreksjon befolkning 67+'!O14+'[4] ETTER korreksjon befolkn 67+'!V14</f>
        <v>710</v>
      </c>
      <c r="P14" s="706">
        <f>'[4]FØR korreksjon befolkning 67+'!P14+'[4] ETTER korreksjon befolkn 67+'!W14</f>
        <v>459</v>
      </c>
      <c r="Q14" s="706">
        <f>'[4]FØR korreksjon befolkning 67+'!Q14+'[4] ETTER korreksjon befolkn 67+'!X14</f>
        <v>323</v>
      </c>
      <c r="R14" s="706">
        <f>'[4]FØR korreksjon befolkning 67+'!R14+'[4] ETTER korreksjon befolkn 67+'!Y14</f>
        <v>155</v>
      </c>
      <c r="S14" s="706">
        <f>'[4]FØR korreksjon befolkning 67+'!S14+'[4] ETTER korreksjon befolkn 67+'!Z14</f>
        <v>51</v>
      </c>
      <c r="U14" s="704">
        <v>-6</v>
      </c>
      <c r="V14" s="704">
        <v>-4</v>
      </c>
      <c r="W14" s="704">
        <v>-22</v>
      </c>
      <c r="X14" s="704">
        <v>-18</v>
      </c>
      <c r="Y14" s="704">
        <v>-18</v>
      </c>
      <c r="Z14" s="704">
        <v>-14</v>
      </c>
      <c r="AA14" s="585">
        <f t="shared" si="3"/>
        <v>-82</v>
      </c>
    </row>
    <row r="15" spans="1:27" s="60" customFormat="1" ht="18" customHeight="1" x14ac:dyDescent="0.3">
      <c r="A15" s="575" t="s">
        <v>94</v>
      </c>
      <c r="B15" s="576">
        <f t="shared" si="2"/>
        <v>33259</v>
      </c>
      <c r="C15" s="577">
        <f>'[4]FØR korreksjon befolkning 67+'!C15</f>
        <v>411</v>
      </c>
      <c r="D15" s="577">
        <f>'[4]FØR korreksjon befolkning 67+'!D15</f>
        <v>1997</v>
      </c>
      <c r="E15" s="577">
        <f>'[4]FØR korreksjon befolkning 67+'!E15</f>
        <v>2988</v>
      </c>
      <c r="F15" s="577">
        <f>'[4]FØR korreksjon befolkning 67+'!F15</f>
        <v>1391</v>
      </c>
      <c r="G15" s="577">
        <f>'[4]FØR korreksjon befolkning 67+'!G15</f>
        <v>958</v>
      </c>
      <c r="H15" s="577">
        <f>'[4]FØR korreksjon befolkning 67+'!H15</f>
        <v>977</v>
      </c>
      <c r="I15" s="577">
        <f>'[4]FØR korreksjon befolkning 67+'!I15</f>
        <v>2208</v>
      </c>
      <c r="J15" s="577">
        <f>'[4]FØR korreksjon befolkning 67+'!J15</f>
        <v>2119</v>
      </c>
      <c r="K15" s="577">
        <f>'[4]FØR korreksjon befolkning 67+'!K15</f>
        <v>4581</v>
      </c>
      <c r="L15" s="577">
        <f>'[4]FØR korreksjon befolkning 67+'!L15</f>
        <v>4627</v>
      </c>
      <c r="M15" s="577">
        <f>'[4]FØR korreksjon befolkning 67+'!M15</f>
        <v>6533</v>
      </c>
      <c r="N15" s="706">
        <f>'[4]FØR korreksjon befolkning 67+'!N15+'[4] ETTER korreksjon befolkn 67+'!U15</f>
        <v>2231</v>
      </c>
      <c r="O15" s="706">
        <f>'[4]FØR korreksjon befolkning 67+'!O15+'[4] ETTER korreksjon befolkn 67+'!V15</f>
        <v>1081</v>
      </c>
      <c r="P15" s="706">
        <f>'[4]FØR korreksjon befolkning 67+'!P15+'[4] ETTER korreksjon befolkn 67+'!W15</f>
        <v>636</v>
      </c>
      <c r="Q15" s="706">
        <f>'[4]FØR korreksjon befolkning 67+'!Q15+'[4] ETTER korreksjon befolkn 67+'!X15</f>
        <v>337</v>
      </c>
      <c r="R15" s="706">
        <f>'[4]FØR korreksjon befolkning 67+'!R15+'[4] ETTER korreksjon befolkn 67+'!Y15</f>
        <v>144</v>
      </c>
      <c r="S15" s="706">
        <f>'[4]FØR korreksjon befolkning 67+'!S15+'[4] ETTER korreksjon befolkn 67+'!Z15</f>
        <v>40</v>
      </c>
      <c r="U15" s="704">
        <v>-2</v>
      </c>
      <c r="V15" s="704">
        <v>-9</v>
      </c>
      <c r="W15" s="704">
        <v>7</v>
      </c>
      <c r="X15" s="704">
        <v>-17</v>
      </c>
      <c r="Y15" s="704">
        <v>-21</v>
      </c>
      <c r="Z15" s="704">
        <v>-15</v>
      </c>
      <c r="AA15" s="585">
        <f t="shared" si="3"/>
        <v>-57</v>
      </c>
    </row>
    <row r="16" spans="1:27" s="60" customFormat="1" x14ac:dyDescent="0.3">
      <c r="A16" s="575" t="s">
        <v>95</v>
      </c>
      <c r="B16" s="576">
        <f t="shared" si="2"/>
        <v>49834</v>
      </c>
      <c r="C16" s="577">
        <f>'[4]FØR korreksjon befolkning 67+'!C16</f>
        <v>627</v>
      </c>
      <c r="D16" s="577">
        <f>'[4]FØR korreksjon befolkning 67+'!D16</f>
        <v>3246</v>
      </c>
      <c r="E16" s="577">
        <f>'[4]FØR korreksjon befolkning 67+'!E16</f>
        <v>4292</v>
      </c>
      <c r="F16" s="577">
        <f>'[4]FØR korreksjon befolkning 67+'!F16</f>
        <v>1659</v>
      </c>
      <c r="G16" s="577">
        <f>'[4]FØR korreksjon befolkning 67+'!G16</f>
        <v>1125</v>
      </c>
      <c r="H16" s="577">
        <f>'[4]FØR korreksjon befolkning 67+'!H16</f>
        <v>1095</v>
      </c>
      <c r="I16" s="577">
        <f>'[4]FØR korreksjon befolkning 67+'!I16</f>
        <v>2797</v>
      </c>
      <c r="J16" s="577">
        <f>'[4]FØR korreksjon befolkning 67+'!J16</f>
        <v>3886</v>
      </c>
      <c r="K16" s="577">
        <f>'[4]FØR korreksjon befolkning 67+'!K16</f>
        <v>8451</v>
      </c>
      <c r="L16" s="577">
        <f>'[4]FØR korreksjon befolkning 67+'!L16</f>
        <v>6981</v>
      </c>
      <c r="M16" s="577">
        <f>'[4]FØR korreksjon befolkning 67+'!M16</f>
        <v>9381</v>
      </c>
      <c r="N16" s="706">
        <f>'[4]FØR korreksjon befolkning 67+'!N16+'[4] ETTER korreksjon befolkn 67+'!U16</f>
        <v>3365</v>
      </c>
      <c r="O16" s="706">
        <f>'[4]FØR korreksjon befolkning 67+'!O16+'[4] ETTER korreksjon befolkn 67+'!V16</f>
        <v>1317</v>
      </c>
      <c r="P16" s="706">
        <f>'[4]FØR korreksjon befolkning 67+'!P16+'[4] ETTER korreksjon befolkn 67+'!W16</f>
        <v>759</v>
      </c>
      <c r="Q16" s="706">
        <f>'[4]FØR korreksjon befolkning 67+'!Q16+'[4] ETTER korreksjon befolkn 67+'!X16</f>
        <v>526</v>
      </c>
      <c r="R16" s="706">
        <f>'[4]FØR korreksjon befolkning 67+'!R16+'[4] ETTER korreksjon befolkn 67+'!Y16</f>
        <v>239</v>
      </c>
      <c r="S16" s="706">
        <f>'[4]FØR korreksjon befolkning 67+'!S16+'[4] ETTER korreksjon befolkn 67+'!Z16</f>
        <v>88</v>
      </c>
      <c r="U16" s="704">
        <v>15</v>
      </c>
      <c r="V16" s="704">
        <v>8</v>
      </c>
      <c r="W16" s="704">
        <v>-1</v>
      </c>
      <c r="X16" s="704">
        <v>-1</v>
      </c>
      <c r="Y16" s="704">
        <v>3</v>
      </c>
      <c r="Z16" s="704">
        <v>4</v>
      </c>
      <c r="AA16" s="585">
        <f t="shared" si="3"/>
        <v>28</v>
      </c>
    </row>
    <row r="17" spans="1:34" s="60" customFormat="1" x14ac:dyDescent="0.3">
      <c r="A17" s="575" t="s">
        <v>96</v>
      </c>
      <c r="B17" s="576">
        <f t="shared" si="2"/>
        <v>50905</v>
      </c>
      <c r="C17" s="577">
        <f>'[4]FØR korreksjon befolkning 67+'!C17</f>
        <v>596</v>
      </c>
      <c r="D17" s="577">
        <f>'[4]FØR korreksjon befolkning 67+'!D17</f>
        <v>3275</v>
      </c>
      <c r="E17" s="577">
        <f>'[4]FØR korreksjon befolkning 67+'!E17</f>
        <v>4701</v>
      </c>
      <c r="F17" s="577">
        <f>'[4]FØR korreksjon befolkning 67+'!F17</f>
        <v>1817</v>
      </c>
      <c r="G17" s="577">
        <f>'[4]FØR korreksjon befolkning 67+'!G17</f>
        <v>1063</v>
      </c>
      <c r="H17" s="577">
        <f>'[4]FØR korreksjon befolkning 67+'!H17</f>
        <v>1039</v>
      </c>
      <c r="I17" s="577">
        <f>'[4]FØR korreksjon befolkning 67+'!I17</f>
        <v>2350</v>
      </c>
      <c r="J17" s="577">
        <f>'[4]FØR korreksjon befolkning 67+'!J17</f>
        <v>3287</v>
      </c>
      <c r="K17" s="577">
        <f>'[4]FØR korreksjon befolkning 67+'!K17</f>
        <v>7942</v>
      </c>
      <c r="L17" s="577">
        <f>'[4]FØR korreksjon befolkning 67+'!L17</f>
        <v>7851</v>
      </c>
      <c r="M17" s="577">
        <f>'[4]FØR korreksjon befolkning 67+'!M17</f>
        <v>10169</v>
      </c>
      <c r="N17" s="706">
        <f>'[4]FØR korreksjon befolkning 67+'!N17+'[4] ETTER korreksjon befolkn 67+'!U17</f>
        <v>2875</v>
      </c>
      <c r="O17" s="706">
        <f>'[4]FØR korreksjon befolkning 67+'!O17+'[4] ETTER korreksjon befolkn 67+'!V17</f>
        <v>1255</v>
      </c>
      <c r="P17" s="706">
        <f>'[4]FØR korreksjon befolkning 67+'!P17+'[4] ETTER korreksjon befolkn 67+'!W17</f>
        <v>1129</v>
      </c>
      <c r="Q17" s="706">
        <f>'[4]FØR korreksjon befolkning 67+'!Q17+'[4] ETTER korreksjon befolkn 67+'!X17</f>
        <v>942</v>
      </c>
      <c r="R17" s="706">
        <f>'[4]FØR korreksjon befolkning 67+'!R17+'[4] ETTER korreksjon befolkn 67+'!Y17</f>
        <v>470</v>
      </c>
      <c r="S17" s="706">
        <f>'[4]FØR korreksjon befolkning 67+'!S17+'[4] ETTER korreksjon befolkn 67+'!Z17</f>
        <v>144</v>
      </c>
      <c r="U17" s="704">
        <v>3</v>
      </c>
      <c r="V17" s="704">
        <v>-4</v>
      </c>
      <c r="W17" s="704">
        <v>4</v>
      </c>
      <c r="X17" s="704">
        <v>16</v>
      </c>
      <c r="Y17" s="704">
        <v>37</v>
      </c>
      <c r="Z17" s="704">
        <v>15</v>
      </c>
      <c r="AA17" s="585">
        <f t="shared" si="3"/>
        <v>71</v>
      </c>
    </row>
    <row r="18" spans="1:34" s="60" customFormat="1" x14ac:dyDescent="0.3">
      <c r="A18" s="575" t="s">
        <v>97</v>
      </c>
      <c r="B18" s="576">
        <f t="shared" si="2"/>
        <v>52574</v>
      </c>
      <c r="C18" s="577">
        <f>'[4]FØR korreksjon befolkning 67+'!C18</f>
        <v>592</v>
      </c>
      <c r="D18" s="577">
        <f>'[4]FØR korreksjon befolkning 67+'!D18</f>
        <v>3222</v>
      </c>
      <c r="E18" s="577">
        <f>'[4]FØR korreksjon befolkning 67+'!E18</f>
        <v>4899</v>
      </c>
      <c r="F18" s="577">
        <f>'[4]FØR korreksjon befolkning 67+'!F18</f>
        <v>1938</v>
      </c>
      <c r="G18" s="577">
        <f>'[4]FØR korreksjon befolkning 67+'!G18</f>
        <v>1204</v>
      </c>
      <c r="H18" s="577">
        <f>'[4]FØR korreksjon befolkning 67+'!H18</f>
        <v>1195</v>
      </c>
      <c r="I18" s="577">
        <f>'[4]FØR korreksjon befolkning 67+'!I18</f>
        <v>2663</v>
      </c>
      <c r="J18" s="577">
        <f>'[4]FØR korreksjon befolkning 67+'!J18</f>
        <v>3084</v>
      </c>
      <c r="K18" s="577">
        <f>'[4]FØR korreksjon befolkning 67+'!K18</f>
        <v>7292</v>
      </c>
      <c r="L18" s="577">
        <f>'[4]FØR korreksjon befolkning 67+'!L18</f>
        <v>8056</v>
      </c>
      <c r="M18" s="577">
        <f>'[4]FØR korreksjon befolkning 67+'!M18</f>
        <v>10671</v>
      </c>
      <c r="N18" s="706">
        <f>'[4]FØR korreksjon befolkning 67+'!N18+'[4] ETTER korreksjon befolkn 67+'!U18</f>
        <v>3724</v>
      </c>
      <c r="O18" s="706">
        <f>'[4]FØR korreksjon befolkning 67+'!O18+'[4] ETTER korreksjon befolkn 67+'!V18</f>
        <v>1573</v>
      </c>
      <c r="P18" s="706">
        <f>'[4]FØR korreksjon befolkning 67+'!P18+'[4] ETTER korreksjon befolkn 67+'!W18</f>
        <v>1058</v>
      </c>
      <c r="Q18" s="706">
        <f>'[4]FØR korreksjon befolkning 67+'!Q18+'[4] ETTER korreksjon befolkn 67+'!X18</f>
        <v>762</v>
      </c>
      <c r="R18" s="706">
        <f>'[4]FØR korreksjon befolkning 67+'!R18+'[4] ETTER korreksjon befolkn 67+'!Y18</f>
        <v>455</v>
      </c>
      <c r="S18" s="706">
        <f>'[4]FØR korreksjon befolkning 67+'!S18+'[4] ETTER korreksjon befolkn 67+'!Z18</f>
        <v>186</v>
      </c>
      <c r="U18" s="704">
        <v>17</v>
      </c>
      <c r="V18" s="704">
        <v>16</v>
      </c>
      <c r="W18" s="704">
        <v>6</v>
      </c>
      <c r="X18" s="704">
        <v>28</v>
      </c>
      <c r="Y18" s="704">
        <v>34</v>
      </c>
      <c r="Z18" s="704">
        <v>14</v>
      </c>
      <c r="AA18" s="585">
        <f t="shared" si="3"/>
        <v>115</v>
      </c>
    </row>
    <row r="19" spans="1:34" s="60" customFormat="1" x14ac:dyDescent="0.3">
      <c r="A19" s="575" t="s">
        <v>98</v>
      </c>
      <c r="B19" s="576">
        <f t="shared" si="2"/>
        <v>39109</v>
      </c>
      <c r="C19" s="577">
        <f>'[4]FØR korreksjon befolkning 67+'!C19</f>
        <v>506</v>
      </c>
      <c r="D19" s="577">
        <f>'[4]FØR korreksjon befolkning 67+'!D19</f>
        <v>2556</v>
      </c>
      <c r="E19" s="577">
        <f>'[4]FØR korreksjon befolkning 67+'!E19</f>
        <v>4025</v>
      </c>
      <c r="F19" s="577">
        <f>'[4]FØR korreksjon befolkning 67+'!F19</f>
        <v>1713</v>
      </c>
      <c r="G19" s="577">
        <f>'[4]FØR korreksjon befolkning 67+'!G19</f>
        <v>1146</v>
      </c>
      <c r="H19" s="577">
        <f>'[4]FØR korreksjon befolkning 67+'!H19</f>
        <v>1085</v>
      </c>
      <c r="I19" s="577">
        <f>'[4]FØR korreksjon befolkning 67+'!I19</f>
        <v>2494</v>
      </c>
      <c r="J19" s="577">
        <f>'[4]FØR korreksjon befolkning 67+'!J19</f>
        <v>2437</v>
      </c>
      <c r="K19" s="577">
        <f>'[4]FØR korreksjon befolkning 67+'!K19</f>
        <v>5815</v>
      </c>
      <c r="L19" s="577">
        <f>'[4]FØR korreksjon befolkning 67+'!L19</f>
        <v>5568</v>
      </c>
      <c r="M19" s="577">
        <f>'[4]FØR korreksjon befolkning 67+'!M19</f>
        <v>8100</v>
      </c>
      <c r="N19" s="706">
        <f>'[4]FØR korreksjon befolkning 67+'!N19+'[4] ETTER korreksjon befolkn 67+'!U19</f>
        <v>2213</v>
      </c>
      <c r="O19" s="706">
        <f>'[4]FØR korreksjon befolkning 67+'!O19+'[4] ETTER korreksjon befolkn 67+'!V19</f>
        <v>765</v>
      </c>
      <c r="P19" s="706">
        <f>'[4]FØR korreksjon befolkning 67+'!P19+'[4] ETTER korreksjon befolkn 67+'!W19</f>
        <v>355</v>
      </c>
      <c r="Q19" s="706">
        <f>'[4]FØR korreksjon befolkning 67+'!Q19+'[4] ETTER korreksjon befolkn 67+'!X19</f>
        <v>208</v>
      </c>
      <c r="R19" s="706">
        <f>'[4]FØR korreksjon befolkning 67+'!R19+'[4] ETTER korreksjon befolkn 67+'!Y19</f>
        <v>84</v>
      </c>
      <c r="S19" s="706">
        <f>'[4]FØR korreksjon befolkning 67+'!S19+'[4] ETTER korreksjon befolkn 67+'!Z19</f>
        <v>39</v>
      </c>
      <c r="U19" s="843">
        <v>2</v>
      </c>
      <c r="V19" s="843">
        <v>0</v>
      </c>
      <c r="W19" s="843">
        <v>3</v>
      </c>
      <c r="X19" s="843">
        <v>0</v>
      </c>
      <c r="Y19" s="843">
        <v>-4</v>
      </c>
      <c r="Z19" s="843">
        <v>-3</v>
      </c>
      <c r="AA19" s="707">
        <f t="shared" si="3"/>
        <v>-2</v>
      </c>
      <c r="AC19" s="708"/>
      <c r="AD19" s="708"/>
      <c r="AE19" s="708"/>
      <c r="AF19" s="708"/>
      <c r="AG19" s="708"/>
      <c r="AH19" s="708"/>
    </row>
    <row r="20" spans="1:34" s="60" customFormat="1" ht="18" customHeight="1" x14ac:dyDescent="0.3">
      <c r="A20" s="578" t="s">
        <v>99</v>
      </c>
      <c r="B20" s="579">
        <f t="shared" si="2"/>
        <v>2370</v>
      </c>
      <c r="C20" s="580">
        <f>'[4]FØR korreksjon befolkning 67+'!C20</f>
        <v>6</v>
      </c>
      <c r="D20" s="580">
        <f>'[4]FØR korreksjon befolkning 67+'!D20</f>
        <v>86</v>
      </c>
      <c r="E20" s="580">
        <f>'[4]FØR korreksjon befolkning 67+'!E20</f>
        <v>193</v>
      </c>
      <c r="F20" s="580">
        <f>'[4]FØR korreksjon befolkning 67+'!F20</f>
        <v>55</v>
      </c>
      <c r="G20" s="580">
        <f>'[4]FØR korreksjon befolkning 67+'!G20</f>
        <v>25</v>
      </c>
      <c r="H20" s="580">
        <f>'[4]FØR korreksjon befolkning 67+'!H20</f>
        <v>22</v>
      </c>
      <c r="I20" s="580">
        <f>'[4]FØR korreksjon befolkning 67+'!I20</f>
        <v>104</v>
      </c>
      <c r="J20" s="580">
        <f>'[4]FØR korreksjon befolkning 67+'!J20</f>
        <v>195</v>
      </c>
      <c r="K20" s="580">
        <f>'[4]FØR korreksjon befolkning 67+'!K20</f>
        <v>594</v>
      </c>
      <c r="L20" s="580">
        <f>'[4]FØR korreksjon befolkning 67+'!L20</f>
        <v>518</v>
      </c>
      <c r="M20" s="580">
        <f>'[4]FØR korreksjon befolkning 67+'!M20</f>
        <v>459</v>
      </c>
      <c r="N20" s="709">
        <f>'[4]FØR korreksjon befolkning 67+'!N20-'[4] ETTER korreksjon befolkn 67+'!N23</f>
        <v>53</v>
      </c>
      <c r="O20" s="709">
        <f>'[4]FØR korreksjon befolkning 67+'!O20-'[4] ETTER korreksjon befolkn 67+'!O23</f>
        <v>24</v>
      </c>
      <c r="P20" s="709">
        <f>'[4]FØR korreksjon befolkning 67+'!P20-'[4] ETTER korreksjon befolkn 67+'!P23</f>
        <v>14</v>
      </c>
      <c r="Q20" s="709">
        <f>'[4]FØR korreksjon befolkning 67+'!Q20-'[4] ETTER korreksjon befolkn 67+'!Q23</f>
        <v>13</v>
      </c>
      <c r="R20" s="709">
        <f>'[4]FØR korreksjon befolkning 67+'!R20-'[4] ETTER korreksjon befolkn 67+'!R23</f>
        <v>7</v>
      </c>
      <c r="S20" s="709">
        <f>'[4]FØR korreksjon befolkning 67+'!S20-'[4] ETTER korreksjon befolkn 67+'!S23</f>
        <v>2</v>
      </c>
    </row>
    <row r="21" spans="1:34" s="60" customFormat="1" x14ac:dyDescent="0.3">
      <c r="A21" s="581" t="s">
        <v>598</v>
      </c>
      <c r="B21" s="582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</row>
    <row r="22" spans="1:34" s="60" customFormat="1" x14ac:dyDescent="0.3">
      <c r="A22" s="710" t="s">
        <v>599</v>
      </c>
      <c r="B22" s="412"/>
      <c r="C22" s="412"/>
      <c r="D22" s="412"/>
      <c r="E22" s="412"/>
      <c r="F22" s="412"/>
      <c r="G22" s="412"/>
      <c r="H22" s="412"/>
      <c r="I22" s="412"/>
      <c r="J22" s="412"/>
      <c r="K22" s="412"/>
      <c r="L22" s="412"/>
      <c r="M22" s="412"/>
      <c r="N22" s="711"/>
      <c r="O22" s="711"/>
      <c r="P22" s="711"/>
      <c r="Q22" s="711"/>
      <c r="R22" s="711"/>
      <c r="S22" s="711"/>
    </row>
    <row r="23" spans="1:34" ht="24.9" x14ac:dyDescent="0.3">
      <c r="A23" s="1094" t="s">
        <v>342</v>
      </c>
      <c r="B23" s="712">
        <f>SUM(N23:S23)</f>
        <v>16</v>
      </c>
      <c r="C23" s="713"/>
      <c r="D23" s="713"/>
      <c r="E23" s="713"/>
      <c r="F23" s="713"/>
      <c r="G23" s="713"/>
      <c r="H23" s="713"/>
      <c r="I23" s="713"/>
      <c r="J23" s="713"/>
      <c r="K23" s="713"/>
      <c r="L23" s="713"/>
      <c r="M23" s="713"/>
      <c r="N23" s="714">
        <v>6</v>
      </c>
      <c r="O23" s="714">
        <v>4</v>
      </c>
      <c r="P23" s="714">
        <v>4</v>
      </c>
      <c r="Q23" s="714">
        <v>0</v>
      </c>
      <c r="R23" s="714">
        <v>0</v>
      </c>
      <c r="S23" s="714">
        <v>2</v>
      </c>
      <c r="U23" s="60"/>
      <c r="V23" s="60"/>
      <c r="W23" s="60"/>
      <c r="X23" s="60"/>
      <c r="Y23" s="60"/>
      <c r="Z23" s="60"/>
    </row>
    <row r="25" spans="1:34" x14ac:dyDescent="0.3">
      <c r="A25" s="705" t="s">
        <v>512</v>
      </c>
      <c r="B25" s="1353" t="s">
        <v>71</v>
      </c>
      <c r="C25" s="1354" t="s">
        <v>72</v>
      </c>
      <c r="D25" s="1354" t="s">
        <v>73</v>
      </c>
      <c r="E25" s="1354" t="s">
        <v>74</v>
      </c>
      <c r="F25" s="1354" t="s">
        <v>75</v>
      </c>
      <c r="G25" s="1354" t="s">
        <v>76</v>
      </c>
      <c r="H25" s="1354" t="s">
        <v>77</v>
      </c>
      <c r="I25" s="1354" t="s">
        <v>78</v>
      </c>
      <c r="J25" s="1354" t="s">
        <v>79</v>
      </c>
      <c r="K25" s="1354" t="s">
        <v>80</v>
      </c>
      <c r="L25" s="1354" t="s">
        <v>81</v>
      </c>
      <c r="M25" s="1354" t="s">
        <v>82</v>
      </c>
      <c r="N25" s="1354" t="s">
        <v>7</v>
      </c>
      <c r="O25" s="1354" t="s">
        <v>8</v>
      </c>
      <c r="P25" s="1354" t="s">
        <v>9</v>
      </c>
      <c r="Q25" s="1354" t="s">
        <v>10</v>
      </c>
      <c r="R25" s="571" t="s">
        <v>324</v>
      </c>
      <c r="S25" s="1354" t="s">
        <v>325</v>
      </c>
    </row>
    <row r="26" spans="1:34" x14ac:dyDescent="0.3">
      <c r="A26" s="575" t="s">
        <v>513</v>
      </c>
      <c r="B26" s="1355">
        <f>SUM(C26:S26)</f>
        <v>1471</v>
      </c>
      <c r="C26" s="1356">
        <f>'[4]FØR korreksjon befolkning 67+'!C26</f>
        <v>4</v>
      </c>
      <c r="D26" s="1356">
        <f>'[4]FØR korreksjon befolkning 67+'!D26</f>
        <v>13</v>
      </c>
      <c r="E26" s="1356">
        <f>'[4]FØR korreksjon befolkning 67+'!E26</f>
        <v>16</v>
      </c>
      <c r="F26" s="1356">
        <f>'[4]FØR korreksjon befolkning 67+'!F26</f>
        <v>6</v>
      </c>
      <c r="G26" s="1356">
        <f>'[4]FØR korreksjon befolkning 67+'!G26</f>
        <v>4</v>
      </c>
      <c r="H26" s="1356">
        <f>'[4]FØR korreksjon befolkning 67+'!H26</f>
        <v>16</v>
      </c>
      <c r="I26" s="1356">
        <f>'[4]FØR korreksjon befolkning 67+'!I26</f>
        <v>316</v>
      </c>
      <c r="J26" s="1356">
        <f>'[4]FØR korreksjon befolkning 67+'!J26</f>
        <v>381</v>
      </c>
      <c r="K26" s="1356">
        <f>'[4]FØR korreksjon befolkning 67+'!K26</f>
        <v>392</v>
      </c>
      <c r="L26" s="1356">
        <f>'[4]FØR korreksjon befolkning 67+'!L26</f>
        <v>139</v>
      </c>
      <c r="M26" s="1356">
        <f>'[4]FØR korreksjon befolkning 67+'!M26</f>
        <v>143</v>
      </c>
      <c r="N26" s="1356">
        <f>'[4]FØR korreksjon befolkning 67+'!N26</f>
        <v>26</v>
      </c>
      <c r="O26" s="1356">
        <f>'[4]FØR korreksjon befolkning 67+'!O26</f>
        <v>6</v>
      </c>
      <c r="P26" s="1356">
        <f>'[4]FØR korreksjon befolkning 67+'!P26</f>
        <v>3</v>
      </c>
      <c r="Q26" s="1356">
        <f>'[4]FØR korreksjon befolkning 67+'!Q26</f>
        <v>2</v>
      </c>
      <c r="R26" s="1356">
        <f>'[4]FØR korreksjon befolkning 67+'!R26</f>
        <v>4</v>
      </c>
      <c r="S26" s="1356">
        <f>'[4]FØR korreksjon befolkning 67+'!S26</f>
        <v>0</v>
      </c>
    </row>
    <row r="28" spans="1:34" x14ac:dyDescent="0.3">
      <c r="A28" s="705" t="s">
        <v>514</v>
      </c>
      <c r="B28" s="1353" t="s">
        <v>71</v>
      </c>
      <c r="C28" s="1354" t="s">
        <v>72</v>
      </c>
      <c r="D28" s="1354" t="s">
        <v>73</v>
      </c>
      <c r="E28" s="1354" t="s">
        <v>74</v>
      </c>
      <c r="F28" s="1354" t="s">
        <v>75</v>
      </c>
      <c r="G28" s="1354" t="s">
        <v>76</v>
      </c>
      <c r="H28" s="1354" t="s">
        <v>77</v>
      </c>
      <c r="I28" s="1354" t="s">
        <v>78</v>
      </c>
      <c r="J28" s="1354" t="s">
        <v>79</v>
      </c>
      <c r="K28" s="1354" t="s">
        <v>80</v>
      </c>
      <c r="L28" s="1354" t="s">
        <v>81</v>
      </c>
      <c r="M28" s="1354" t="s">
        <v>82</v>
      </c>
      <c r="N28" s="1354" t="s">
        <v>7</v>
      </c>
      <c r="O28" s="1354" t="s">
        <v>8</v>
      </c>
      <c r="P28" s="1354" t="s">
        <v>9</v>
      </c>
      <c r="Q28" s="1354" t="s">
        <v>10</v>
      </c>
      <c r="R28" s="571" t="s">
        <v>324</v>
      </c>
      <c r="S28" s="1354" t="s">
        <v>325</v>
      </c>
    </row>
    <row r="29" spans="1:34" x14ac:dyDescent="0.3">
      <c r="A29" s="575" t="s">
        <v>515</v>
      </c>
      <c r="B29" s="1355">
        <f>SUM(C29:S29)</f>
        <v>701</v>
      </c>
      <c r="C29" s="1356">
        <f>'[4]FØR korreksjon befolkning 67+'!C29</f>
        <v>5</v>
      </c>
      <c r="D29" s="1356">
        <f>'[4]FØR korreksjon befolkning 67+'!D29</f>
        <v>23</v>
      </c>
      <c r="E29" s="1356">
        <f>'[4]FØR korreksjon befolkning 67+'!E29</f>
        <v>61</v>
      </c>
      <c r="F29" s="1356">
        <f>'[4]FØR korreksjon befolkning 67+'!F29</f>
        <v>21</v>
      </c>
      <c r="G29" s="1356">
        <f>'[4]FØR korreksjon befolkning 67+'!G29</f>
        <v>27</v>
      </c>
      <c r="H29" s="1356">
        <f>'[4]FØR korreksjon befolkning 67+'!H29</f>
        <v>15</v>
      </c>
      <c r="I29" s="1356">
        <f>'[4]FØR korreksjon befolkning 67+'!I29</f>
        <v>25</v>
      </c>
      <c r="J29" s="1356">
        <f>'[4]FØR korreksjon befolkning 67+'!J29</f>
        <v>32</v>
      </c>
      <c r="K29" s="1356">
        <f>'[4]FØR korreksjon befolkning 67+'!K29</f>
        <v>77</v>
      </c>
      <c r="L29" s="1356">
        <f>'[4]FØR korreksjon befolkning 67+'!L29</f>
        <v>116</v>
      </c>
      <c r="M29" s="1356">
        <f>'[4]FØR korreksjon befolkning 67+'!M29</f>
        <v>195</v>
      </c>
      <c r="N29" s="1356">
        <f>'[4]FØR korreksjon befolkning 67+'!N29</f>
        <v>55</v>
      </c>
      <c r="O29" s="1356">
        <f>'[4]FØR korreksjon befolkning 67+'!O29</f>
        <v>24</v>
      </c>
      <c r="P29" s="1356">
        <f>'[4]FØR korreksjon befolkning 67+'!P29</f>
        <v>14</v>
      </c>
      <c r="Q29" s="1356">
        <f>'[4]FØR korreksjon befolkning 67+'!Q29</f>
        <v>9</v>
      </c>
      <c r="R29" s="1356">
        <f>'[4]FØR korreksjon befolkning 67+'!R29</f>
        <v>2</v>
      </c>
      <c r="S29" s="1356">
        <f>'[4]FØR korreksjon befolkning 67+'!S29</f>
        <v>0</v>
      </c>
    </row>
    <row r="30" spans="1:34" x14ac:dyDescent="0.3">
      <c r="A30" s="575" t="s">
        <v>516</v>
      </c>
      <c r="B30" s="1355">
        <f t="shared" ref="B30:B35" si="4">SUM(C30:S30)</f>
        <v>826</v>
      </c>
      <c r="C30" s="1356">
        <f>'[4]FØR korreksjon befolkning 67+'!C30</f>
        <v>6</v>
      </c>
      <c r="D30" s="1356">
        <f>'[4]FØR korreksjon befolkning 67+'!D30</f>
        <v>49</v>
      </c>
      <c r="E30" s="1356">
        <f>'[4]FØR korreksjon befolkning 67+'!E30</f>
        <v>70</v>
      </c>
      <c r="F30" s="1356">
        <f>'[4]FØR korreksjon befolkning 67+'!F30</f>
        <v>26</v>
      </c>
      <c r="G30" s="1356">
        <f>'[4]FØR korreksjon befolkning 67+'!G30</f>
        <v>15</v>
      </c>
      <c r="H30" s="1356">
        <f>'[4]FØR korreksjon befolkning 67+'!H30</f>
        <v>19</v>
      </c>
      <c r="I30" s="1356">
        <f>'[4]FØR korreksjon befolkning 67+'!I30</f>
        <v>49</v>
      </c>
      <c r="J30" s="1356">
        <f>'[4]FØR korreksjon befolkning 67+'!J30</f>
        <v>39</v>
      </c>
      <c r="K30" s="1356">
        <f>'[4]FØR korreksjon befolkning 67+'!K30</f>
        <v>103</v>
      </c>
      <c r="L30" s="1356">
        <f>'[4]FØR korreksjon befolkning 67+'!L30</f>
        <v>122</v>
      </c>
      <c r="M30" s="1356">
        <f>'[4]FØR korreksjon befolkning 67+'!M30</f>
        <v>240</v>
      </c>
      <c r="N30" s="1356">
        <f>'[4]FØR korreksjon befolkning 67+'!N30</f>
        <v>55</v>
      </c>
      <c r="O30" s="1356">
        <f>'[4]FØR korreksjon befolkning 67+'!O30</f>
        <v>12</v>
      </c>
      <c r="P30" s="1356">
        <f>'[4]FØR korreksjon befolkning 67+'!P30</f>
        <v>12</v>
      </c>
      <c r="Q30" s="1356">
        <f>'[4]FØR korreksjon befolkning 67+'!Q30</f>
        <v>4</v>
      </c>
      <c r="R30" s="1356">
        <f>'[4]FØR korreksjon befolkning 67+'!R30</f>
        <v>5</v>
      </c>
      <c r="S30" s="1356">
        <f>'[4]FØR korreksjon befolkning 67+'!S30</f>
        <v>0</v>
      </c>
    </row>
    <row r="31" spans="1:34" x14ac:dyDescent="0.3">
      <c r="A31" s="575" t="s">
        <v>517</v>
      </c>
      <c r="B31" s="1355">
        <f t="shared" si="4"/>
        <v>5</v>
      </c>
      <c r="C31" s="1356">
        <f>'[4]FØR korreksjon befolkning 67+'!C31</f>
        <v>0</v>
      </c>
      <c r="D31" s="1356">
        <f>'[4]FØR korreksjon befolkning 67+'!D31</f>
        <v>0</v>
      </c>
      <c r="E31" s="1356">
        <f>'[4]FØR korreksjon befolkning 67+'!E31</f>
        <v>0</v>
      </c>
      <c r="F31" s="1356">
        <f>'[4]FØR korreksjon befolkning 67+'!F31</f>
        <v>0</v>
      </c>
      <c r="G31" s="1356">
        <f>'[4]FØR korreksjon befolkning 67+'!G31</f>
        <v>0</v>
      </c>
      <c r="H31" s="1356">
        <f>'[4]FØR korreksjon befolkning 67+'!H31</f>
        <v>0</v>
      </c>
      <c r="I31" s="1356">
        <f>'[4]FØR korreksjon befolkning 67+'!I31</f>
        <v>0</v>
      </c>
      <c r="J31" s="1356">
        <f>'[4]FØR korreksjon befolkning 67+'!J31</f>
        <v>1</v>
      </c>
      <c r="K31" s="1356">
        <f>'[4]FØR korreksjon befolkning 67+'!K31</f>
        <v>1</v>
      </c>
      <c r="L31" s="1356">
        <f>'[4]FØR korreksjon befolkning 67+'!L31</f>
        <v>0</v>
      </c>
      <c r="M31" s="1356">
        <f>'[4]FØR korreksjon befolkning 67+'!M31</f>
        <v>3</v>
      </c>
      <c r="N31" s="1356">
        <f>'[4]FØR korreksjon befolkning 67+'!N31</f>
        <v>0</v>
      </c>
      <c r="O31" s="1356">
        <f>'[4]FØR korreksjon befolkning 67+'!O31</f>
        <v>0</v>
      </c>
      <c r="P31" s="1356">
        <f>'[4]FØR korreksjon befolkning 67+'!P31</f>
        <v>0</v>
      </c>
      <c r="Q31" s="1356">
        <f>'[4]FØR korreksjon befolkning 67+'!Q31</f>
        <v>0</v>
      </c>
      <c r="R31" s="1356">
        <f>'[4]FØR korreksjon befolkning 67+'!R31</f>
        <v>0</v>
      </c>
      <c r="S31" s="1356">
        <f>'[4]FØR korreksjon befolkning 67+'!S31</f>
        <v>0</v>
      </c>
    </row>
    <row r="32" spans="1:34" x14ac:dyDescent="0.3">
      <c r="A32" s="575" t="s">
        <v>518</v>
      </c>
      <c r="B32" s="1355">
        <f t="shared" si="4"/>
        <v>5</v>
      </c>
      <c r="C32" s="1356">
        <f>'[4]FØR korreksjon befolkning 67+'!C32</f>
        <v>0</v>
      </c>
      <c r="D32" s="1356">
        <f>'[4]FØR korreksjon befolkning 67+'!D32</f>
        <v>0</v>
      </c>
      <c r="E32" s="1356">
        <f>'[4]FØR korreksjon befolkning 67+'!E32</f>
        <v>0</v>
      </c>
      <c r="F32" s="1356">
        <f>'[4]FØR korreksjon befolkning 67+'!F32</f>
        <v>0</v>
      </c>
      <c r="G32" s="1356">
        <f>'[4]FØR korreksjon befolkning 67+'!G32</f>
        <v>0</v>
      </c>
      <c r="H32" s="1356">
        <f>'[4]FØR korreksjon befolkning 67+'!H32</f>
        <v>0</v>
      </c>
      <c r="I32" s="1356">
        <f>'[4]FØR korreksjon befolkning 67+'!I32</f>
        <v>0</v>
      </c>
      <c r="J32" s="1356">
        <f>'[4]FØR korreksjon befolkning 67+'!J32</f>
        <v>0</v>
      </c>
      <c r="K32" s="1356">
        <f>'[4]FØR korreksjon befolkning 67+'!K32</f>
        <v>0</v>
      </c>
      <c r="L32" s="1356">
        <f>'[4]FØR korreksjon befolkning 67+'!L32</f>
        <v>0</v>
      </c>
      <c r="M32" s="1356">
        <f>'[4]FØR korreksjon befolkning 67+'!M32</f>
        <v>5</v>
      </c>
      <c r="N32" s="1356">
        <f>'[4]FØR korreksjon befolkning 67+'!N32</f>
        <v>0</v>
      </c>
      <c r="O32" s="1356">
        <f>'[4]FØR korreksjon befolkning 67+'!O32</f>
        <v>0</v>
      </c>
      <c r="P32" s="1356">
        <f>'[4]FØR korreksjon befolkning 67+'!P32</f>
        <v>0</v>
      </c>
      <c r="Q32" s="1356">
        <f>'[4]FØR korreksjon befolkning 67+'!Q32</f>
        <v>0</v>
      </c>
      <c r="R32" s="1356">
        <f>'[4]FØR korreksjon befolkning 67+'!R32</f>
        <v>0</v>
      </c>
      <c r="S32" s="1356">
        <f>'[4]FØR korreksjon befolkning 67+'!S32</f>
        <v>0</v>
      </c>
    </row>
    <row r="33" spans="1:19" x14ac:dyDescent="0.3">
      <c r="A33" s="575" t="s">
        <v>519</v>
      </c>
      <c r="B33" s="1355">
        <f t="shared" si="4"/>
        <v>28</v>
      </c>
      <c r="C33" s="1356">
        <f>'[4]FØR korreksjon befolkning 67+'!C33</f>
        <v>0</v>
      </c>
      <c r="D33" s="1356">
        <f>'[4]FØR korreksjon befolkning 67+'!D33</f>
        <v>0</v>
      </c>
      <c r="E33" s="1356">
        <f>'[4]FØR korreksjon befolkning 67+'!E33</f>
        <v>0</v>
      </c>
      <c r="F33" s="1356">
        <f>'[4]FØR korreksjon befolkning 67+'!F33</f>
        <v>2</v>
      </c>
      <c r="G33" s="1356">
        <f>'[4]FØR korreksjon befolkning 67+'!G33</f>
        <v>3</v>
      </c>
      <c r="H33" s="1356">
        <f>'[4]FØR korreksjon befolkning 67+'!H33</f>
        <v>1</v>
      </c>
      <c r="I33" s="1356">
        <f>'[4]FØR korreksjon befolkning 67+'!I33</f>
        <v>1</v>
      </c>
      <c r="J33" s="1356">
        <f>'[4]FØR korreksjon befolkning 67+'!J33</f>
        <v>1</v>
      </c>
      <c r="K33" s="1356">
        <f>'[4]FØR korreksjon befolkning 67+'!K33</f>
        <v>1</v>
      </c>
      <c r="L33" s="1356">
        <f>'[4]FØR korreksjon befolkning 67+'!L33</f>
        <v>3</v>
      </c>
      <c r="M33" s="1356">
        <f>'[4]FØR korreksjon befolkning 67+'!M33</f>
        <v>8</v>
      </c>
      <c r="N33" s="1356">
        <f>'[4]FØR korreksjon befolkning 67+'!N33</f>
        <v>3</v>
      </c>
      <c r="O33" s="1356">
        <f>'[4]FØR korreksjon befolkning 67+'!O33</f>
        <v>4</v>
      </c>
      <c r="P33" s="1356">
        <f>'[4]FØR korreksjon befolkning 67+'!P33</f>
        <v>1</v>
      </c>
      <c r="Q33" s="1356">
        <f>'[4]FØR korreksjon befolkning 67+'!Q33</f>
        <v>0</v>
      </c>
      <c r="R33" s="1356">
        <f>'[4]FØR korreksjon befolkning 67+'!R33</f>
        <v>0</v>
      </c>
      <c r="S33" s="1356">
        <f>'[4]FØR korreksjon befolkning 67+'!S33</f>
        <v>0</v>
      </c>
    </row>
    <row r="34" spans="1:19" x14ac:dyDescent="0.3">
      <c r="A34" s="575" t="s">
        <v>520</v>
      </c>
      <c r="B34" s="1355">
        <f t="shared" si="4"/>
        <v>45</v>
      </c>
      <c r="C34" s="1356">
        <f>'[4]FØR korreksjon befolkning 67+'!C34</f>
        <v>2</v>
      </c>
      <c r="D34" s="1356">
        <f>'[4]FØR korreksjon befolkning 67+'!D34</f>
        <v>0</v>
      </c>
      <c r="E34" s="1356">
        <f>'[4]FØR korreksjon befolkning 67+'!E34</f>
        <v>3</v>
      </c>
      <c r="F34" s="1356">
        <f>'[4]FØR korreksjon befolkning 67+'!F34</f>
        <v>0</v>
      </c>
      <c r="G34" s="1356">
        <f>'[4]FØR korreksjon befolkning 67+'!G34</f>
        <v>0</v>
      </c>
      <c r="H34" s="1356">
        <f>'[4]FØR korreksjon befolkning 67+'!H34</f>
        <v>2</v>
      </c>
      <c r="I34" s="1356">
        <f>'[4]FØR korreksjon befolkning 67+'!I34</f>
        <v>1</v>
      </c>
      <c r="J34" s="1356">
        <f>'[4]FØR korreksjon befolkning 67+'!J34</f>
        <v>3</v>
      </c>
      <c r="K34" s="1356">
        <f>'[4]FØR korreksjon befolkning 67+'!K34</f>
        <v>5</v>
      </c>
      <c r="L34" s="1356">
        <f>'[4]FØR korreksjon befolkning 67+'!L34</f>
        <v>13</v>
      </c>
      <c r="M34" s="1356">
        <f>'[4]FØR korreksjon befolkning 67+'!M34</f>
        <v>10</v>
      </c>
      <c r="N34" s="1356">
        <f>'[4]FØR korreksjon befolkning 67+'!N34</f>
        <v>5</v>
      </c>
      <c r="O34" s="1356">
        <f>'[4]FØR korreksjon befolkning 67+'!O34</f>
        <v>1</v>
      </c>
      <c r="P34" s="1356">
        <f>'[4]FØR korreksjon befolkning 67+'!P34</f>
        <v>0</v>
      </c>
      <c r="Q34" s="1356">
        <f>'[4]FØR korreksjon befolkning 67+'!Q34</f>
        <v>0</v>
      </c>
      <c r="R34" s="1356">
        <f>'[4]FØR korreksjon befolkning 67+'!R34</f>
        <v>0</v>
      </c>
      <c r="S34" s="1356">
        <f>'[4]FØR korreksjon befolkning 67+'!S34</f>
        <v>0</v>
      </c>
    </row>
    <row r="35" spans="1:19" x14ac:dyDescent="0.3">
      <c r="A35" s="1357" t="s">
        <v>521</v>
      </c>
      <c r="B35" s="1358">
        <f t="shared" si="4"/>
        <v>1610</v>
      </c>
      <c r="C35" s="1359">
        <f>SUM(C29:C34)</f>
        <v>13</v>
      </c>
      <c r="D35" s="1359">
        <f t="shared" ref="D35:S35" si="5">SUM(D29:D34)</f>
        <v>72</v>
      </c>
      <c r="E35" s="1359">
        <f t="shared" si="5"/>
        <v>134</v>
      </c>
      <c r="F35" s="1359">
        <f t="shared" si="5"/>
        <v>49</v>
      </c>
      <c r="G35" s="1359">
        <f t="shared" si="5"/>
        <v>45</v>
      </c>
      <c r="H35" s="1359">
        <f t="shared" si="5"/>
        <v>37</v>
      </c>
      <c r="I35" s="1359">
        <f t="shared" si="5"/>
        <v>76</v>
      </c>
      <c r="J35" s="1359">
        <f t="shared" si="5"/>
        <v>76</v>
      </c>
      <c r="K35" s="1359">
        <f t="shared" si="5"/>
        <v>187</v>
      </c>
      <c r="L35" s="1359">
        <f t="shared" si="5"/>
        <v>254</v>
      </c>
      <c r="M35" s="1359">
        <f t="shared" si="5"/>
        <v>461</v>
      </c>
      <c r="N35" s="1359">
        <f t="shared" si="5"/>
        <v>118</v>
      </c>
      <c r="O35" s="1359">
        <f t="shared" si="5"/>
        <v>41</v>
      </c>
      <c r="P35" s="1359">
        <f t="shared" si="5"/>
        <v>27</v>
      </c>
      <c r="Q35" s="1359">
        <f t="shared" si="5"/>
        <v>13</v>
      </c>
      <c r="R35" s="1359">
        <f t="shared" si="5"/>
        <v>7</v>
      </c>
      <c r="S35" s="1359">
        <f t="shared" si="5"/>
        <v>0</v>
      </c>
    </row>
  </sheetData>
  <pageMargins left="0.7" right="0.7" top="0.75" bottom="0.75" header="0.3" footer="0.3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Y50"/>
  <sheetViews>
    <sheetView showGridLines="0" zoomScale="115" zoomScaleNormal="115" workbookViewId="0">
      <selection activeCell="J3" sqref="J3"/>
    </sheetView>
  </sheetViews>
  <sheetFormatPr baseColWidth="10" defaultColWidth="11.4609375" defaultRowHeight="11.6" x14ac:dyDescent="0.3"/>
  <cols>
    <col min="1" max="1" width="6.07421875" style="5" bestFit="1" customWidth="1"/>
    <col min="2" max="2" width="20.84375" style="2" customWidth="1"/>
    <col min="3" max="3" width="9.69140625" style="2" customWidth="1"/>
    <col min="4" max="4" width="7.3046875" style="2" customWidth="1"/>
    <col min="5" max="5" width="9.69140625" style="2" customWidth="1"/>
    <col min="6" max="6" width="9.3046875" style="2" customWidth="1"/>
    <col min="7" max="7" width="9.69140625" style="2" customWidth="1"/>
    <col min="8" max="8" width="7.3046875" style="2" customWidth="1"/>
    <col min="9" max="9" width="9.69140625" style="2" customWidth="1"/>
    <col min="10" max="10" width="11.07421875" style="2" customWidth="1"/>
    <col min="11" max="12" width="11.4609375" style="2"/>
    <col min="13" max="13" width="22.3046875" style="2" customWidth="1"/>
    <col min="14" max="16384" width="11.4609375" style="2"/>
  </cols>
  <sheetData>
    <row r="1" spans="1:25" x14ac:dyDescent="0.3">
      <c r="A1" s="1" t="s">
        <v>0</v>
      </c>
    </row>
    <row r="2" spans="1:25" x14ac:dyDescent="0.3">
      <c r="A2" s="1" t="str">
        <f>A4</f>
        <v xml:space="preserve">Tabell 3 - 2  - A -  Antall personer som venter på fast plass i sykehjem - tid på venteliste - pr 31.12 </v>
      </c>
    </row>
    <row r="4" spans="1:25" s="8" customFormat="1" ht="24" customHeight="1" thickBot="1" x14ac:dyDescent="0.35">
      <c r="A4" s="469" t="s">
        <v>549</v>
      </c>
      <c r="L4" s="1641" t="s">
        <v>548</v>
      </c>
      <c r="M4" s="1641"/>
      <c r="N4" s="1641"/>
      <c r="O4" s="1641"/>
      <c r="P4" s="1641"/>
    </row>
    <row r="5" spans="1:25" s="11" customFormat="1" ht="21" customHeight="1" thickBot="1" x14ac:dyDescent="0.35">
      <c r="A5" s="473"/>
      <c r="B5" s="474"/>
      <c r="C5" s="1634" t="s">
        <v>422</v>
      </c>
      <c r="D5" s="1635"/>
      <c r="E5" s="1635"/>
      <c r="F5" s="1635"/>
      <c r="G5" s="1635"/>
      <c r="H5" s="1635"/>
      <c r="I5" s="1635"/>
      <c r="J5" s="1636"/>
    </row>
    <row r="6" spans="1:25" s="84" customFormat="1" ht="52.5" customHeight="1" thickBot="1" x14ac:dyDescent="0.35">
      <c r="A6" s="473"/>
      <c r="B6" s="474"/>
      <c r="C6" s="1637" t="s">
        <v>420</v>
      </c>
      <c r="D6" s="1639"/>
      <c r="E6" s="1637" t="s">
        <v>423</v>
      </c>
      <c r="F6" s="1639"/>
      <c r="G6" s="1637" t="s">
        <v>421</v>
      </c>
      <c r="H6" s="1639"/>
      <c r="I6" s="1637" t="s">
        <v>29</v>
      </c>
      <c r="J6" s="1639"/>
      <c r="L6" s="473"/>
      <c r="M6" s="474"/>
      <c r="N6" s="1637" t="s">
        <v>498</v>
      </c>
      <c r="O6" s="1638"/>
      <c r="P6" s="1639"/>
      <c r="Q6" s="1637" t="s">
        <v>424</v>
      </c>
      <c r="R6" s="1638"/>
      <c r="S6" s="1639"/>
      <c r="T6" s="1637" t="s">
        <v>499</v>
      </c>
      <c r="U6" s="1638"/>
      <c r="V6" s="1639"/>
    </row>
    <row r="7" spans="1:25" s="11" customFormat="1" ht="48" customHeight="1" thickBot="1" x14ac:dyDescent="0.35">
      <c r="A7" s="475" t="s">
        <v>2</v>
      </c>
      <c r="B7" s="451" t="s">
        <v>3</v>
      </c>
      <c r="C7" s="450" t="s">
        <v>419</v>
      </c>
      <c r="D7" s="980" t="s">
        <v>436</v>
      </c>
      <c r="E7" s="450" t="s">
        <v>419</v>
      </c>
      <c r="F7" s="980" t="s">
        <v>418</v>
      </c>
      <c r="G7" s="450" t="s">
        <v>419</v>
      </c>
      <c r="H7" s="981" t="s">
        <v>418</v>
      </c>
      <c r="I7" s="982" t="s">
        <v>419</v>
      </c>
      <c r="J7" s="983" t="s">
        <v>418</v>
      </c>
      <c r="L7" s="475" t="s">
        <v>2</v>
      </c>
      <c r="M7" s="451" t="s">
        <v>3</v>
      </c>
      <c r="N7" s="450" t="s">
        <v>419</v>
      </c>
      <c r="O7" s="980" t="s">
        <v>418</v>
      </c>
      <c r="P7" s="1059" t="s">
        <v>13</v>
      </c>
      <c r="Q7" s="450" t="s">
        <v>419</v>
      </c>
      <c r="R7" s="980" t="s">
        <v>418</v>
      </c>
      <c r="S7" s="1059" t="s">
        <v>13</v>
      </c>
      <c r="T7" s="450" t="s">
        <v>419</v>
      </c>
      <c r="U7" s="980" t="s">
        <v>418</v>
      </c>
      <c r="V7" s="1059" t="s">
        <v>13</v>
      </c>
      <c r="Y7" s="11" t="s">
        <v>108</v>
      </c>
    </row>
    <row r="8" spans="1:25" ht="12.9" x14ac:dyDescent="0.35">
      <c r="A8" s="476">
        <v>1</v>
      </c>
      <c r="B8" s="459" t="s">
        <v>14</v>
      </c>
      <c r="C8" s="487">
        <v>0</v>
      </c>
      <c r="D8" s="488">
        <v>0</v>
      </c>
      <c r="E8" s="487">
        <v>0</v>
      </c>
      <c r="F8" s="488">
        <v>3</v>
      </c>
      <c r="G8" s="487">
        <v>0</v>
      </c>
      <c r="H8" s="488">
        <v>0</v>
      </c>
      <c r="I8" s="487">
        <f>C8+E8+G8</f>
        <v>0</v>
      </c>
      <c r="J8" s="488">
        <f>D8+F8+H8</f>
        <v>3</v>
      </c>
      <c r="L8" s="476">
        <v>1</v>
      </c>
      <c r="M8" s="459" t="s">
        <v>14</v>
      </c>
      <c r="N8" s="119">
        <v>0</v>
      </c>
      <c r="O8" s="1287">
        <v>0</v>
      </c>
      <c r="P8" s="1284">
        <f>N8+O8</f>
        <v>0</v>
      </c>
      <c r="Q8" s="119">
        <v>0</v>
      </c>
      <c r="R8" s="1287">
        <v>22</v>
      </c>
      <c r="S8" s="1284">
        <f>Q8+R8</f>
        <v>22</v>
      </c>
      <c r="T8" s="119">
        <f>N8+Q8</f>
        <v>0</v>
      </c>
      <c r="U8" s="1287">
        <f>O8+R8</f>
        <v>22</v>
      </c>
      <c r="V8" s="1284">
        <f>T8+U8</f>
        <v>22</v>
      </c>
    </row>
    <row r="9" spans="1:25" ht="12.9" x14ac:dyDescent="0.35">
      <c r="A9" s="477">
        <v>2</v>
      </c>
      <c r="B9" s="462" t="s">
        <v>15</v>
      </c>
      <c r="C9" s="661">
        <v>1</v>
      </c>
      <c r="D9" s="662">
        <v>1</v>
      </c>
      <c r="E9" s="661">
        <v>0</v>
      </c>
      <c r="F9" s="662">
        <v>0</v>
      </c>
      <c r="G9" s="661">
        <v>0</v>
      </c>
      <c r="H9" s="662">
        <v>0</v>
      </c>
      <c r="I9" s="661">
        <f t="shared" ref="I9:I22" si="0">C9+E9+G9</f>
        <v>1</v>
      </c>
      <c r="J9" s="662">
        <f t="shared" ref="J9:J22" si="1">D9+F9+H9</f>
        <v>1</v>
      </c>
      <c r="L9" s="477">
        <v>2</v>
      </c>
      <c r="M9" s="462" t="s">
        <v>15</v>
      </c>
      <c r="N9" s="120">
        <v>0</v>
      </c>
      <c r="O9" s="1288">
        <v>1</v>
      </c>
      <c r="P9" s="1285">
        <f t="shared" ref="P9:P22" si="2">N9+O9</f>
        <v>1</v>
      </c>
      <c r="Q9" s="120">
        <v>0</v>
      </c>
      <c r="R9" s="1288">
        <v>14</v>
      </c>
      <c r="S9" s="1285">
        <f t="shared" ref="S9:S22" si="3">Q9+R9</f>
        <v>14</v>
      </c>
      <c r="T9" s="120">
        <f>N9+Q9</f>
        <v>0</v>
      </c>
      <c r="U9" s="1288">
        <f>O9+R9</f>
        <v>15</v>
      </c>
      <c r="V9" s="1285">
        <f t="shared" ref="V9:V22" si="4">T9+U9</f>
        <v>15</v>
      </c>
    </row>
    <row r="10" spans="1:25" ht="12.9" x14ac:dyDescent="0.35">
      <c r="A10" s="477">
        <v>3</v>
      </c>
      <c r="B10" s="462" t="s">
        <v>16</v>
      </c>
      <c r="C10" s="661">
        <v>0</v>
      </c>
      <c r="D10" s="662">
        <v>1</v>
      </c>
      <c r="E10" s="661">
        <v>0</v>
      </c>
      <c r="F10" s="662">
        <v>1</v>
      </c>
      <c r="G10" s="661">
        <v>0</v>
      </c>
      <c r="H10" s="662">
        <v>0</v>
      </c>
      <c r="I10" s="661">
        <f t="shared" si="0"/>
        <v>0</v>
      </c>
      <c r="J10" s="662">
        <f t="shared" si="1"/>
        <v>2</v>
      </c>
      <c r="L10" s="477">
        <v>3</v>
      </c>
      <c r="M10" s="462" t="s">
        <v>16</v>
      </c>
      <c r="N10" s="120">
        <v>0</v>
      </c>
      <c r="O10" s="1288">
        <v>1</v>
      </c>
      <c r="P10" s="1285">
        <f t="shared" si="2"/>
        <v>1</v>
      </c>
      <c r="Q10" s="120">
        <v>0</v>
      </c>
      <c r="R10" s="1288">
        <v>21</v>
      </c>
      <c r="S10" s="1285">
        <f t="shared" si="3"/>
        <v>21</v>
      </c>
      <c r="T10" s="120">
        <f t="shared" ref="T10:T21" si="5">N10+Q10</f>
        <v>0</v>
      </c>
      <c r="U10" s="1288">
        <f t="shared" ref="U10:U21" si="6">O10+R10</f>
        <v>22</v>
      </c>
      <c r="V10" s="1285">
        <f t="shared" si="4"/>
        <v>22</v>
      </c>
    </row>
    <row r="11" spans="1:25" ht="12.9" x14ac:dyDescent="0.35">
      <c r="A11" s="477">
        <v>4</v>
      </c>
      <c r="B11" s="462" t="s">
        <v>17</v>
      </c>
      <c r="C11" s="661">
        <v>0</v>
      </c>
      <c r="D11" s="662">
        <v>0</v>
      </c>
      <c r="E11" s="661">
        <v>0</v>
      </c>
      <c r="F11" s="662">
        <v>13</v>
      </c>
      <c r="G11" s="661">
        <v>0</v>
      </c>
      <c r="H11" s="662">
        <v>3</v>
      </c>
      <c r="I11" s="661">
        <f t="shared" si="0"/>
        <v>0</v>
      </c>
      <c r="J11" s="662">
        <f t="shared" si="1"/>
        <v>16</v>
      </c>
      <c r="L11" s="477">
        <v>4</v>
      </c>
      <c r="M11" s="462" t="s">
        <v>17</v>
      </c>
      <c r="N11" s="120">
        <v>0</v>
      </c>
      <c r="O11" s="1288">
        <v>0</v>
      </c>
      <c r="P11" s="1285">
        <f t="shared" si="2"/>
        <v>0</v>
      </c>
      <c r="Q11" s="120">
        <v>0</v>
      </c>
      <c r="R11" s="1288">
        <v>13</v>
      </c>
      <c r="S11" s="1285">
        <f t="shared" si="3"/>
        <v>13</v>
      </c>
      <c r="T11" s="120">
        <f t="shared" si="5"/>
        <v>0</v>
      </c>
      <c r="U11" s="1288">
        <f t="shared" si="6"/>
        <v>13</v>
      </c>
      <c r="V11" s="1285">
        <f t="shared" si="4"/>
        <v>13</v>
      </c>
    </row>
    <row r="12" spans="1:25" ht="12.9" x14ac:dyDescent="0.35">
      <c r="A12" s="477">
        <v>5</v>
      </c>
      <c r="B12" s="462" t="s">
        <v>18</v>
      </c>
      <c r="C12" s="661">
        <v>0</v>
      </c>
      <c r="D12" s="662">
        <v>3</v>
      </c>
      <c r="E12" s="661">
        <v>0</v>
      </c>
      <c r="F12" s="662">
        <v>0</v>
      </c>
      <c r="G12" s="661">
        <v>2</v>
      </c>
      <c r="H12" s="662">
        <v>0</v>
      </c>
      <c r="I12" s="661">
        <f t="shared" si="0"/>
        <v>2</v>
      </c>
      <c r="J12" s="662">
        <f t="shared" si="1"/>
        <v>3</v>
      </c>
      <c r="L12" s="477">
        <v>5</v>
      </c>
      <c r="M12" s="462" t="s">
        <v>18</v>
      </c>
      <c r="N12" s="120">
        <v>0</v>
      </c>
      <c r="O12" s="1288">
        <v>2</v>
      </c>
      <c r="P12" s="1285">
        <f t="shared" si="2"/>
        <v>2</v>
      </c>
      <c r="Q12" s="120">
        <v>1</v>
      </c>
      <c r="R12" s="1288">
        <v>45</v>
      </c>
      <c r="S12" s="1285">
        <f t="shared" si="3"/>
        <v>46</v>
      </c>
      <c r="T12" s="120">
        <f t="shared" si="5"/>
        <v>1</v>
      </c>
      <c r="U12" s="1288">
        <f t="shared" si="6"/>
        <v>47</v>
      </c>
      <c r="V12" s="1285">
        <f t="shared" si="4"/>
        <v>48</v>
      </c>
    </row>
    <row r="13" spans="1:25" ht="12.9" x14ac:dyDescent="0.35">
      <c r="A13" s="478">
        <v>6</v>
      </c>
      <c r="B13" s="465" t="s">
        <v>19</v>
      </c>
      <c r="C13" s="661">
        <v>0</v>
      </c>
      <c r="D13" s="662">
        <v>3</v>
      </c>
      <c r="E13" s="661">
        <v>0</v>
      </c>
      <c r="F13" s="662">
        <v>0</v>
      </c>
      <c r="G13" s="661">
        <v>0</v>
      </c>
      <c r="H13" s="662">
        <v>1</v>
      </c>
      <c r="I13" s="661">
        <f t="shared" si="0"/>
        <v>0</v>
      </c>
      <c r="J13" s="662">
        <f t="shared" si="1"/>
        <v>4</v>
      </c>
      <c r="L13" s="478">
        <v>6</v>
      </c>
      <c r="M13" s="465" t="s">
        <v>19</v>
      </c>
      <c r="N13" s="120">
        <v>0</v>
      </c>
      <c r="O13" s="1288">
        <v>3</v>
      </c>
      <c r="P13" s="1285">
        <f t="shared" si="2"/>
        <v>3</v>
      </c>
      <c r="Q13" s="120">
        <v>0</v>
      </c>
      <c r="R13" s="1288">
        <v>38</v>
      </c>
      <c r="S13" s="1285">
        <f t="shared" si="3"/>
        <v>38</v>
      </c>
      <c r="T13" s="120">
        <f t="shared" si="5"/>
        <v>0</v>
      </c>
      <c r="U13" s="1288">
        <f t="shared" si="6"/>
        <v>41</v>
      </c>
      <c r="V13" s="1285">
        <f t="shared" si="4"/>
        <v>41</v>
      </c>
    </row>
    <row r="14" spans="1:25" ht="12.9" x14ac:dyDescent="0.35">
      <c r="A14" s="478">
        <v>7</v>
      </c>
      <c r="B14" s="465" t="s">
        <v>20</v>
      </c>
      <c r="C14" s="661">
        <v>0</v>
      </c>
      <c r="D14" s="662">
        <v>2</v>
      </c>
      <c r="E14" s="661">
        <v>2</v>
      </c>
      <c r="F14" s="662">
        <v>0</v>
      </c>
      <c r="G14" s="661">
        <v>3</v>
      </c>
      <c r="H14" s="662">
        <v>1</v>
      </c>
      <c r="I14" s="661">
        <f t="shared" si="0"/>
        <v>5</v>
      </c>
      <c r="J14" s="662">
        <f t="shared" si="1"/>
        <v>3</v>
      </c>
      <c r="L14" s="478">
        <v>7</v>
      </c>
      <c r="M14" s="465" t="s">
        <v>20</v>
      </c>
      <c r="N14" s="120">
        <v>0</v>
      </c>
      <c r="O14" s="1288">
        <v>0</v>
      </c>
      <c r="P14" s="1285">
        <f t="shared" si="2"/>
        <v>0</v>
      </c>
      <c r="Q14" s="120">
        <v>0</v>
      </c>
      <c r="R14" s="1288">
        <v>2</v>
      </c>
      <c r="S14" s="1285">
        <f t="shared" si="3"/>
        <v>2</v>
      </c>
      <c r="T14" s="120">
        <f t="shared" si="5"/>
        <v>0</v>
      </c>
      <c r="U14" s="1288">
        <f t="shared" si="6"/>
        <v>2</v>
      </c>
      <c r="V14" s="1285">
        <f t="shared" si="4"/>
        <v>2</v>
      </c>
    </row>
    <row r="15" spans="1:25" ht="12.9" x14ac:dyDescent="0.35">
      <c r="A15" s="477">
        <v>8</v>
      </c>
      <c r="B15" s="462" t="s">
        <v>21</v>
      </c>
      <c r="C15" s="661">
        <v>1</v>
      </c>
      <c r="D15" s="662">
        <v>1</v>
      </c>
      <c r="E15" s="661">
        <v>0</v>
      </c>
      <c r="F15" s="662">
        <v>0</v>
      </c>
      <c r="G15" s="661">
        <v>1</v>
      </c>
      <c r="H15" s="662">
        <v>0</v>
      </c>
      <c r="I15" s="661">
        <f t="shared" si="0"/>
        <v>2</v>
      </c>
      <c r="J15" s="662">
        <f t="shared" si="1"/>
        <v>1</v>
      </c>
      <c r="L15" s="477">
        <v>8</v>
      </c>
      <c r="M15" s="462" t="s">
        <v>21</v>
      </c>
      <c r="N15" s="120">
        <v>0</v>
      </c>
      <c r="O15" s="1288">
        <v>1</v>
      </c>
      <c r="P15" s="1285">
        <f t="shared" si="2"/>
        <v>1</v>
      </c>
      <c r="Q15" s="120">
        <v>1</v>
      </c>
      <c r="R15" s="1288">
        <v>49</v>
      </c>
      <c r="S15" s="1285">
        <f t="shared" si="3"/>
        <v>50</v>
      </c>
      <c r="T15" s="120">
        <f t="shared" si="5"/>
        <v>1</v>
      </c>
      <c r="U15" s="1288">
        <f t="shared" si="6"/>
        <v>50</v>
      </c>
      <c r="V15" s="1285">
        <f t="shared" si="4"/>
        <v>51</v>
      </c>
    </row>
    <row r="16" spans="1:25" ht="12.9" x14ac:dyDescent="0.35">
      <c r="A16" s="477">
        <v>9</v>
      </c>
      <c r="B16" s="462" t="s">
        <v>22</v>
      </c>
      <c r="C16" s="661">
        <v>0</v>
      </c>
      <c r="D16" s="662">
        <v>0</v>
      </c>
      <c r="E16" s="661">
        <v>0</v>
      </c>
      <c r="F16" s="662">
        <v>0</v>
      </c>
      <c r="G16" s="661">
        <v>0</v>
      </c>
      <c r="H16" s="662">
        <v>1</v>
      </c>
      <c r="I16" s="661">
        <f t="shared" si="0"/>
        <v>0</v>
      </c>
      <c r="J16" s="662">
        <f t="shared" si="1"/>
        <v>1</v>
      </c>
      <c r="L16" s="477">
        <v>9</v>
      </c>
      <c r="M16" s="462" t="s">
        <v>22</v>
      </c>
      <c r="N16" s="120">
        <v>0</v>
      </c>
      <c r="O16" s="1288">
        <v>0</v>
      </c>
      <c r="P16" s="1285">
        <f t="shared" si="2"/>
        <v>0</v>
      </c>
      <c r="Q16" s="120">
        <v>1</v>
      </c>
      <c r="R16" s="1288">
        <v>19</v>
      </c>
      <c r="S16" s="1285">
        <f t="shared" si="3"/>
        <v>20</v>
      </c>
      <c r="T16" s="120">
        <f t="shared" si="5"/>
        <v>1</v>
      </c>
      <c r="U16" s="1288">
        <f t="shared" si="6"/>
        <v>19</v>
      </c>
      <c r="V16" s="1285">
        <f t="shared" si="4"/>
        <v>20</v>
      </c>
    </row>
    <row r="17" spans="1:22" ht="12.9" x14ac:dyDescent="0.35">
      <c r="A17" s="477">
        <v>10</v>
      </c>
      <c r="B17" s="462" t="s">
        <v>23</v>
      </c>
      <c r="C17" s="661">
        <v>0</v>
      </c>
      <c r="D17" s="662">
        <v>1</v>
      </c>
      <c r="E17" s="661">
        <v>0</v>
      </c>
      <c r="F17" s="662">
        <v>0</v>
      </c>
      <c r="G17" s="661">
        <v>0</v>
      </c>
      <c r="H17" s="662">
        <v>2</v>
      </c>
      <c r="I17" s="661">
        <f t="shared" si="0"/>
        <v>0</v>
      </c>
      <c r="J17" s="662">
        <f t="shared" si="1"/>
        <v>3</v>
      </c>
      <c r="L17" s="477">
        <v>10</v>
      </c>
      <c r="M17" s="462" t="s">
        <v>23</v>
      </c>
      <c r="N17" s="120">
        <v>0</v>
      </c>
      <c r="O17" s="1288">
        <v>1</v>
      </c>
      <c r="P17" s="1285">
        <f t="shared" si="2"/>
        <v>1</v>
      </c>
      <c r="Q17" s="120">
        <v>1</v>
      </c>
      <c r="R17" s="1288">
        <v>18</v>
      </c>
      <c r="S17" s="1285">
        <f t="shared" si="3"/>
        <v>19</v>
      </c>
      <c r="T17" s="120">
        <f t="shared" si="5"/>
        <v>1</v>
      </c>
      <c r="U17" s="1288">
        <f t="shared" si="6"/>
        <v>19</v>
      </c>
      <c r="V17" s="1285">
        <f t="shared" si="4"/>
        <v>20</v>
      </c>
    </row>
    <row r="18" spans="1:22" ht="12.9" x14ac:dyDescent="0.35">
      <c r="A18" s="478">
        <v>11</v>
      </c>
      <c r="B18" s="465" t="s">
        <v>24</v>
      </c>
      <c r="C18" s="661">
        <v>0</v>
      </c>
      <c r="D18" s="662">
        <v>0</v>
      </c>
      <c r="E18" s="661">
        <v>1</v>
      </c>
      <c r="F18" s="662">
        <v>0</v>
      </c>
      <c r="G18" s="661">
        <v>1</v>
      </c>
      <c r="H18" s="662">
        <v>0</v>
      </c>
      <c r="I18" s="661">
        <f t="shared" si="0"/>
        <v>2</v>
      </c>
      <c r="J18" s="662">
        <f t="shared" si="1"/>
        <v>0</v>
      </c>
      <c r="L18" s="478">
        <v>11</v>
      </c>
      <c r="M18" s="465" t="s">
        <v>24</v>
      </c>
      <c r="N18" s="120">
        <v>0</v>
      </c>
      <c r="O18" s="1288">
        <v>0</v>
      </c>
      <c r="P18" s="1285">
        <f t="shared" si="2"/>
        <v>0</v>
      </c>
      <c r="Q18" s="120">
        <v>0</v>
      </c>
      <c r="R18" s="1288">
        <v>25</v>
      </c>
      <c r="S18" s="1285">
        <f t="shared" si="3"/>
        <v>25</v>
      </c>
      <c r="T18" s="120">
        <f t="shared" si="5"/>
        <v>0</v>
      </c>
      <c r="U18" s="1288">
        <f t="shared" si="6"/>
        <v>25</v>
      </c>
      <c r="V18" s="1285">
        <f t="shared" si="4"/>
        <v>25</v>
      </c>
    </row>
    <row r="19" spans="1:22" ht="12.9" x14ac:dyDescent="0.35">
      <c r="A19" s="477">
        <v>12</v>
      </c>
      <c r="B19" s="462" t="s">
        <v>25</v>
      </c>
      <c r="C19" s="661">
        <v>0</v>
      </c>
      <c r="D19" s="662">
        <v>0</v>
      </c>
      <c r="E19" s="661">
        <v>0</v>
      </c>
      <c r="F19" s="662">
        <v>0</v>
      </c>
      <c r="G19" s="661">
        <v>0</v>
      </c>
      <c r="H19" s="662">
        <v>0</v>
      </c>
      <c r="I19" s="661">
        <f t="shared" si="0"/>
        <v>0</v>
      </c>
      <c r="J19" s="662">
        <f t="shared" si="1"/>
        <v>0</v>
      </c>
      <c r="L19" s="477">
        <v>12</v>
      </c>
      <c r="M19" s="462" t="s">
        <v>25</v>
      </c>
      <c r="N19" s="120">
        <v>0</v>
      </c>
      <c r="O19" s="1288">
        <v>0</v>
      </c>
      <c r="P19" s="1285">
        <f t="shared" si="2"/>
        <v>0</v>
      </c>
      <c r="Q19" s="120">
        <v>0</v>
      </c>
      <c r="R19" s="1288">
        <v>28</v>
      </c>
      <c r="S19" s="1285">
        <f t="shared" si="3"/>
        <v>28</v>
      </c>
      <c r="T19" s="120">
        <f t="shared" si="5"/>
        <v>0</v>
      </c>
      <c r="U19" s="1288">
        <f t="shared" si="6"/>
        <v>28</v>
      </c>
      <c r="V19" s="1285">
        <f t="shared" si="4"/>
        <v>28</v>
      </c>
    </row>
    <row r="20" spans="1:22" ht="12.9" x14ac:dyDescent="0.35">
      <c r="A20" s="477">
        <v>13</v>
      </c>
      <c r="B20" s="462" t="s">
        <v>26</v>
      </c>
      <c r="C20" s="661">
        <v>0</v>
      </c>
      <c r="D20" s="662">
        <v>0</v>
      </c>
      <c r="E20" s="661">
        <v>0</v>
      </c>
      <c r="F20" s="662">
        <v>0</v>
      </c>
      <c r="G20" s="661">
        <v>1</v>
      </c>
      <c r="H20" s="662">
        <v>1</v>
      </c>
      <c r="I20" s="661">
        <f t="shared" si="0"/>
        <v>1</v>
      </c>
      <c r="J20" s="662">
        <f t="shared" si="1"/>
        <v>1</v>
      </c>
      <c r="L20" s="477">
        <v>13</v>
      </c>
      <c r="M20" s="462" t="s">
        <v>26</v>
      </c>
      <c r="N20" s="120">
        <v>0</v>
      </c>
      <c r="O20" s="1288">
        <v>0</v>
      </c>
      <c r="P20" s="1285">
        <f t="shared" si="2"/>
        <v>0</v>
      </c>
      <c r="Q20" s="120">
        <v>2</v>
      </c>
      <c r="R20" s="1288">
        <v>66</v>
      </c>
      <c r="S20" s="1285">
        <f t="shared" si="3"/>
        <v>68</v>
      </c>
      <c r="T20" s="120">
        <f t="shared" si="5"/>
        <v>2</v>
      </c>
      <c r="U20" s="1288">
        <f t="shared" si="6"/>
        <v>66</v>
      </c>
      <c r="V20" s="1285">
        <f t="shared" si="4"/>
        <v>68</v>
      </c>
    </row>
    <row r="21" spans="1:22" ht="12.9" x14ac:dyDescent="0.35">
      <c r="A21" s="477">
        <v>14</v>
      </c>
      <c r="B21" s="462" t="s">
        <v>27</v>
      </c>
      <c r="C21" s="661">
        <v>3</v>
      </c>
      <c r="D21" s="662">
        <v>11</v>
      </c>
      <c r="E21" s="661">
        <v>0</v>
      </c>
      <c r="F21" s="662">
        <v>0</v>
      </c>
      <c r="G21" s="661">
        <v>1</v>
      </c>
      <c r="H21" s="662">
        <v>1</v>
      </c>
      <c r="I21" s="661">
        <f t="shared" si="0"/>
        <v>4</v>
      </c>
      <c r="J21" s="662">
        <f t="shared" si="1"/>
        <v>12</v>
      </c>
      <c r="L21" s="477">
        <v>14</v>
      </c>
      <c r="M21" s="462" t="s">
        <v>27</v>
      </c>
      <c r="N21" s="120">
        <v>0</v>
      </c>
      <c r="O21" s="1288">
        <v>0</v>
      </c>
      <c r="P21" s="1285">
        <f t="shared" si="2"/>
        <v>0</v>
      </c>
      <c r="Q21" s="120">
        <v>0</v>
      </c>
      <c r="R21" s="1288">
        <v>101</v>
      </c>
      <c r="S21" s="1285">
        <f t="shared" si="3"/>
        <v>101</v>
      </c>
      <c r="T21" s="120">
        <f t="shared" si="5"/>
        <v>0</v>
      </c>
      <c r="U21" s="1288">
        <f t="shared" si="6"/>
        <v>101</v>
      </c>
      <c r="V21" s="1285">
        <f t="shared" si="4"/>
        <v>101</v>
      </c>
    </row>
    <row r="22" spans="1:22" ht="13.3" thickBot="1" x14ac:dyDescent="0.4">
      <c r="A22" s="479">
        <v>15</v>
      </c>
      <c r="B22" s="480" t="s">
        <v>28</v>
      </c>
      <c r="C22" s="898">
        <v>0</v>
      </c>
      <c r="D22" s="899">
        <v>2</v>
      </c>
      <c r="E22" s="898">
        <v>0</v>
      </c>
      <c r="F22" s="899">
        <v>0</v>
      </c>
      <c r="G22" s="898">
        <v>0</v>
      </c>
      <c r="H22" s="899">
        <v>0</v>
      </c>
      <c r="I22" s="898">
        <f t="shared" si="0"/>
        <v>0</v>
      </c>
      <c r="J22" s="899">
        <f t="shared" si="1"/>
        <v>2</v>
      </c>
      <c r="L22" s="479">
        <v>15</v>
      </c>
      <c r="M22" s="480" t="s">
        <v>28</v>
      </c>
      <c r="N22" s="121">
        <v>0</v>
      </c>
      <c r="O22" s="1289">
        <v>2</v>
      </c>
      <c r="P22" s="1286">
        <f t="shared" si="2"/>
        <v>2</v>
      </c>
      <c r="Q22" s="121">
        <v>0</v>
      </c>
      <c r="R22" s="1289">
        <v>19</v>
      </c>
      <c r="S22" s="1286">
        <f t="shared" si="3"/>
        <v>19</v>
      </c>
      <c r="T22" s="121">
        <f>N22+Q22</f>
        <v>0</v>
      </c>
      <c r="U22" s="1289">
        <f>O22+R22</f>
        <v>21</v>
      </c>
      <c r="V22" s="1286">
        <f t="shared" si="4"/>
        <v>21</v>
      </c>
    </row>
    <row r="23" spans="1:22" s="346" customFormat="1" x14ac:dyDescent="0.3">
      <c r="A23" s="1161"/>
      <c r="B23" s="1162" t="s">
        <v>543</v>
      </c>
      <c r="C23" s="664">
        <f t="shared" ref="C23:D23" si="7">SUM(C8:C22)</f>
        <v>5</v>
      </c>
      <c r="D23" s="665">
        <f t="shared" si="7"/>
        <v>25</v>
      </c>
      <c r="E23" s="664">
        <f t="shared" ref="E23:J23" si="8">SUM(E8:E22)</f>
        <v>3</v>
      </c>
      <c r="F23" s="665">
        <f t="shared" si="8"/>
        <v>17</v>
      </c>
      <c r="G23" s="664">
        <f t="shared" si="8"/>
        <v>9</v>
      </c>
      <c r="H23" s="665">
        <f t="shared" si="8"/>
        <v>10</v>
      </c>
      <c r="I23" s="664">
        <f t="shared" si="8"/>
        <v>17</v>
      </c>
      <c r="J23" s="665">
        <f t="shared" si="8"/>
        <v>52</v>
      </c>
      <c r="L23" s="1386"/>
      <c r="M23" s="1388" t="s">
        <v>550</v>
      </c>
      <c r="N23" s="664">
        <f t="shared" ref="N23:O23" si="9">SUM(N8:N22)</f>
        <v>0</v>
      </c>
      <c r="O23" s="665">
        <f t="shared" si="9"/>
        <v>11</v>
      </c>
      <c r="P23" s="665">
        <f>SUM(P8:P22)</f>
        <v>11</v>
      </c>
      <c r="Q23" s="664">
        <f t="shared" ref="Q23:R23" si="10">SUM(Q8:Q22)</f>
        <v>6</v>
      </c>
      <c r="R23" s="665">
        <f t="shared" si="10"/>
        <v>480</v>
      </c>
      <c r="S23" s="665">
        <f>SUM(S8:S22)</f>
        <v>486</v>
      </c>
      <c r="T23" s="664">
        <f t="shared" ref="T23:U23" si="11">SUM(T8:T22)</f>
        <v>6</v>
      </c>
      <c r="U23" s="665">
        <f t="shared" si="11"/>
        <v>491</v>
      </c>
      <c r="V23" s="665">
        <f>SUM(V8:V22)</f>
        <v>497</v>
      </c>
    </row>
    <row r="24" spans="1:22" s="346" customFormat="1" x14ac:dyDescent="0.3">
      <c r="A24" s="1441"/>
      <c r="B24" s="465" t="s">
        <v>483</v>
      </c>
      <c r="C24" s="661">
        <v>3</v>
      </c>
      <c r="D24" s="662">
        <v>35</v>
      </c>
      <c r="E24" s="661">
        <v>2</v>
      </c>
      <c r="F24" s="662">
        <v>6</v>
      </c>
      <c r="G24" s="661">
        <v>14</v>
      </c>
      <c r="H24" s="662">
        <v>2</v>
      </c>
      <c r="I24" s="661">
        <v>19</v>
      </c>
      <c r="J24" s="662">
        <v>43</v>
      </c>
      <c r="L24" s="1442"/>
      <c r="M24" s="1443" t="s">
        <v>483</v>
      </c>
      <c r="N24" s="661">
        <v>1</v>
      </c>
      <c r="O24" s="662">
        <v>32</v>
      </c>
      <c r="P24" s="1391">
        <v>33</v>
      </c>
      <c r="Q24" s="661">
        <v>19</v>
      </c>
      <c r="R24" s="662">
        <v>379</v>
      </c>
      <c r="S24" s="1391">
        <v>398</v>
      </c>
      <c r="T24" s="661">
        <v>20</v>
      </c>
      <c r="U24" s="662">
        <v>411</v>
      </c>
      <c r="V24" s="1391">
        <v>431</v>
      </c>
    </row>
    <row r="25" spans="1:22" s="413" customFormat="1" ht="12.9" x14ac:dyDescent="0.35">
      <c r="A25" s="477"/>
      <c r="B25" s="462" t="s">
        <v>454</v>
      </c>
      <c r="C25" s="661">
        <v>4</v>
      </c>
      <c r="D25" s="662">
        <v>32</v>
      </c>
      <c r="E25" s="661">
        <v>1</v>
      </c>
      <c r="F25" s="662">
        <v>4</v>
      </c>
      <c r="G25" s="661">
        <v>7</v>
      </c>
      <c r="H25" s="662">
        <v>9</v>
      </c>
      <c r="I25" s="661">
        <v>12</v>
      </c>
      <c r="J25" s="662">
        <v>45</v>
      </c>
      <c r="L25" s="1387"/>
      <c r="M25" s="1389" t="s">
        <v>454</v>
      </c>
      <c r="N25" s="120" t="s">
        <v>126</v>
      </c>
      <c r="O25" s="1288" t="s">
        <v>126</v>
      </c>
      <c r="P25" s="1393" t="s">
        <v>126</v>
      </c>
      <c r="Q25" s="120">
        <v>10</v>
      </c>
      <c r="R25" s="1288">
        <v>390</v>
      </c>
      <c r="S25" s="1391">
        <v>400</v>
      </c>
      <c r="T25" s="120">
        <v>10</v>
      </c>
      <c r="U25" s="1288">
        <v>390</v>
      </c>
      <c r="V25" s="1391">
        <v>400</v>
      </c>
    </row>
    <row r="26" spans="1:22" s="413" customFormat="1" ht="13.3" thickBot="1" x14ac:dyDescent="0.4">
      <c r="A26" s="477"/>
      <c r="B26" s="462" t="s">
        <v>414</v>
      </c>
      <c r="C26" s="661">
        <v>7</v>
      </c>
      <c r="D26" s="662">
        <v>21</v>
      </c>
      <c r="E26" s="661">
        <v>1</v>
      </c>
      <c r="F26" s="662">
        <v>8</v>
      </c>
      <c r="G26" s="661">
        <v>15</v>
      </c>
      <c r="H26" s="662">
        <v>7</v>
      </c>
      <c r="I26" s="661">
        <v>23</v>
      </c>
      <c r="J26" s="662">
        <v>36</v>
      </c>
      <c r="L26" s="1387"/>
      <c r="M26" s="1390" t="s">
        <v>414</v>
      </c>
      <c r="N26" s="121" t="s">
        <v>126</v>
      </c>
      <c r="O26" s="1289" t="s">
        <v>126</v>
      </c>
      <c r="P26" s="1394" t="s">
        <v>126</v>
      </c>
      <c r="Q26" s="121">
        <v>10</v>
      </c>
      <c r="R26" s="1289">
        <v>356</v>
      </c>
      <c r="S26" s="1392">
        <v>366</v>
      </c>
      <c r="T26" s="121">
        <v>10</v>
      </c>
      <c r="U26" s="1289">
        <v>356</v>
      </c>
      <c r="V26" s="1392">
        <v>366</v>
      </c>
    </row>
    <row r="27" spans="1:22" customFormat="1" ht="12.45" x14ac:dyDescent="0.3">
      <c r="A27" s="483" t="s">
        <v>435</v>
      </c>
      <c r="B27" s="60"/>
      <c r="C27" s="60"/>
      <c r="D27" s="60"/>
      <c r="E27" s="60"/>
      <c r="F27" s="118"/>
      <c r="L27" s="483" t="s">
        <v>435</v>
      </c>
      <c r="M27" s="60"/>
      <c r="N27" s="413"/>
      <c r="O27" s="413"/>
      <c r="P27" s="413"/>
    </row>
    <row r="28" spans="1:22" customFormat="1" ht="12.45" x14ac:dyDescent="0.3">
      <c r="A28" s="483" t="s">
        <v>437</v>
      </c>
      <c r="B28" s="118"/>
      <c r="C28" s="118"/>
      <c r="D28" s="118"/>
      <c r="E28" s="118"/>
      <c r="F28" s="118"/>
      <c r="L28" s="413"/>
      <c r="M28" s="413"/>
      <c r="N28" s="413"/>
      <c r="O28" s="413"/>
      <c r="P28" s="413"/>
    </row>
    <row r="29" spans="1:22" ht="27.75" customHeight="1" x14ac:dyDescent="0.3">
      <c r="A29" s="1640"/>
      <c r="B29" s="1640"/>
      <c r="C29" s="1640"/>
      <c r="D29" s="1640"/>
      <c r="E29" s="1640"/>
      <c r="F29" s="1640"/>
      <c r="G29" s="1640"/>
      <c r="H29" s="1640"/>
      <c r="I29" s="1640"/>
      <c r="J29" s="1640"/>
    </row>
    <row r="30" spans="1:22" s="413" customFormat="1" x14ac:dyDescent="0.3"/>
    <row r="31" spans="1:22" s="413" customFormat="1" x14ac:dyDescent="0.3">
      <c r="K31" s="413" t="s">
        <v>108</v>
      </c>
    </row>
    <row r="32" spans="1:22" ht="57.75" customHeight="1" x14ac:dyDescent="0.3">
      <c r="A32" s="2"/>
    </row>
    <row r="33" spans="1:6" ht="35.25" customHeight="1" x14ac:dyDescent="0.3">
      <c r="A33" s="2"/>
      <c r="F33" s="2" t="s">
        <v>108</v>
      </c>
    </row>
    <row r="34" spans="1:6" ht="32.25" customHeight="1" x14ac:dyDescent="0.3">
      <c r="A34" s="2"/>
    </row>
    <row r="35" spans="1:6" x14ac:dyDescent="0.3">
      <c r="A35" s="2"/>
    </row>
    <row r="36" spans="1:6" x14ac:dyDescent="0.3">
      <c r="A36" s="2"/>
    </row>
    <row r="37" spans="1:6" x14ac:dyDescent="0.3">
      <c r="A37" s="2"/>
    </row>
    <row r="38" spans="1:6" x14ac:dyDescent="0.3">
      <c r="A38" s="2"/>
    </row>
    <row r="39" spans="1:6" x14ac:dyDescent="0.3">
      <c r="A39" s="2"/>
    </row>
    <row r="40" spans="1:6" x14ac:dyDescent="0.3">
      <c r="A40" s="2"/>
    </row>
    <row r="41" spans="1:6" x14ac:dyDescent="0.3">
      <c r="A41" s="2"/>
    </row>
    <row r="42" spans="1:6" x14ac:dyDescent="0.3">
      <c r="A42" s="2"/>
    </row>
    <row r="43" spans="1:6" x14ac:dyDescent="0.3">
      <c r="A43" s="2"/>
    </row>
    <row r="44" spans="1:6" x14ac:dyDescent="0.3">
      <c r="A44" s="2"/>
    </row>
    <row r="45" spans="1:6" x14ac:dyDescent="0.3">
      <c r="A45" s="2"/>
    </row>
    <row r="46" spans="1:6" x14ac:dyDescent="0.3">
      <c r="A46" s="2"/>
    </row>
    <row r="47" spans="1:6" x14ac:dyDescent="0.3">
      <c r="A47" s="2"/>
    </row>
    <row r="48" spans="1:6" x14ac:dyDescent="0.3">
      <c r="A48" s="2"/>
    </row>
    <row r="49" spans="1:1" x14ac:dyDescent="0.3">
      <c r="A49" s="2"/>
    </row>
    <row r="50" spans="1:1" x14ac:dyDescent="0.3">
      <c r="A50" s="2"/>
    </row>
  </sheetData>
  <mergeCells count="10">
    <mergeCell ref="Q6:S6"/>
    <mergeCell ref="T6:V6"/>
    <mergeCell ref="A29:J29"/>
    <mergeCell ref="N6:P6"/>
    <mergeCell ref="L4:P4"/>
    <mergeCell ref="C6:D6"/>
    <mergeCell ref="E6:F6"/>
    <mergeCell ref="G6:H6"/>
    <mergeCell ref="I6:J6"/>
    <mergeCell ref="C5:J5"/>
  </mergeCells>
  <printOptions horizontalCentered="1" verticalCentered="1"/>
  <pageMargins left="0.7" right="0.7" top="0.75" bottom="0.75" header="0.3" footer="0.3"/>
  <pageSetup paperSize="9" fitToHeight="0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K44"/>
  <sheetViews>
    <sheetView showGridLines="0" zoomScaleNormal="100" workbookViewId="0">
      <selection activeCell="H8" sqref="H8"/>
    </sheetView>
  </sheetViews>
  <sheetFormatPr baseColWidth="10" defaultColWidth="11.4609375" defaultRowHeight="11.6" x14ac:dyDescent="0.3"/>
  <cols>
    <col min="1" max="1" width="6.07421875" style="5" bestFit="1" customWidth="1"/>
    <col min="2" max="2" width="26.69140625" style="2" customWidth="1"/>
    <col min="3" max="3" width="11.84375" style="2" customWidth="1"/>
    <col min="4" max="4" width="11.3046875" style="2" customWidth="1"/>
    <col min="5" max="5" width="12.4609375" style="2" customWidth="1"/>
    <col min="6" max="6" width="11.53515625" style="2" customWidth="1"/>
    <col min="7" max="7" width="15.84375" style="2" customWidth="1"/>
    <col min="8" max="8" width="11.4609375" style="2" customWidth="1"/>
    <col min="9" max="16384" width="11.4609375" style="2"/>
  </cols>
  <sheetData>
    <row r="1" spans="1:11" x14ac:dyDescent="0.3">
      <c r="A1" s="1" t="s">
        <v>0</v>
      </c>
    </row>
    <row r="2" spans="1:11" x14ac:dyDescent="0.3">
      <c r="A2" s="1"/>
    </row>
    <row r="3" spans="1:11" x14ac:dyDescent="0.3">
      <c r="A3" s="1" t="str">
        <f>A6</f>
        <v>Tabell 3 -2 - B -  Saksbehandlingstider i pleie- og omsorgssektoren - institusjonstjenesten - hittil i år</v>
      </c>
    </row>
    <row r="4" spans="1:11" x14ac:dyDescent="0.3">
      <c r="A4" s="1"/>
    </row>
    <row r="6" spans="1:11" s="8" customFormat="1" ht="30" customHeight="1" thickBot="1" x14ac:dyDescent="0.35">
      <c r="A6" s="7" t="s">
        <v>269</v>
      </c>
    </row>
    <row r="7" spans="1:11" s="11" customFormat="1" ht="26.25" customHeight="1" thickBot="1" x14ac:dyDescent="0.35">
      <c r="A7" s="65"/>
      <c r="B7" s="1292"/>
      <c r="C7" s="1642" t="s">
        <v>30</v>
      </c>
      <c r="D7" s="1643"/>
      <c r="E7" s="1643"/>
      <c r="F7" s="1643"/>
      <c r="G7" s="1644"/>
    </row>
    <row r="8" spans="1:11" s="11" customFormat="1" ht="84.75" customHeight="1" thickBot="1" x14ac:dyDescent="0.35">
      <c r="A8" s="75" t="s">
        <v>2</v>
      </c>
      <c r="B8" s="969" t="s">
        <v>3</v>
      </c>
      <c r="C8" s="1293" t="s">
        <v>31</v>
      </c>
      <c r="D8" s="82" t="s">
        <v>32</v>
      </c>
      <c r="E8" s="172" t="s">
        <v>33</v>
      </c>
      <c r="F8" s="172" t="s">
        <v>34</v>
      </c>
      <c r="G8" s="1290" t="s">
        <v>35</v>
      </c>
    </row>
    <row r="9" spans="1:11" x14ac:dyDescent="0.3">
      <c r="A9" s="303">
        <v>1</v>
      </c>
      <c r="B9" s="304" t="s">
        <v>14</v>
      </c>
      <c r="C9" s="1396">
        <v>20</v>
      </c>
      <c r="D9" s="1397">
        <v>29</v>
      </c>
      <c r="E9" s="1397">
        <v>18</v>
      </c>
      <c r="F9" s="1397">
        <v>0</v>
      </c>
      <c r="G9" s="1398">
        <v>34</v>
      </c>
    </row>
    <row r="10" spans="1:11" x14ac:dyDescent="0.3">
      <c r="A10" s="305">
        <v>2</v>
      </c>
      <c r="B10" s="126" t="s">
        <v>15</v>
      </c>
      <c r="C10" s="827">
        <v>8</v>
      </c>
      <c r="D10" s="344">
        <v>39</v>
      </c>
      <c r="E10" s="344">
        <v>3</v>
      </c>
      <c r="F10" s="344">
        <v>5</v>
      </c>
      <c r="G10" s="343">
        <v>25</v>
      </c>
    </row>
    <row r="11" spans="1:11" x14ac:dyDescent="0.3">
      <c r="A11" s="305">
        <v>3</v>
      </c>
      <c r="B11" s="126" t="s">
        <v>16</v>
      </c>
      <c r="C11" s="827">
        <v>11</v>
      </c>
      <c r="D11" s="344">
        <v>56</v>
      </c>
      <c r="E11" s="344">
        <v>4</v>
      </c>
      <c r="F11" s="344">
        <v>35</v>
      </c>
      <c r="G11" s="343">
        <v>61</v>
      </c>
    </row>
    <row r="12" spans="1:11" x14ac:dyDescent="0.3">
      <c r="A12" s="305">
        <v>4</v>
      </c>
      <c r="B12" s="126" t="s">
        <v>17</v>
      </c>
      <c r="C12" s="827">
        <v>9</v>
      </c>
      <c r="D12" s="344">
        <v>29</v>
      </c>
      <c r="E12" s="344">
        <v>2</v>
      </c>
      <c r="F12" s="344">
        <v>0</v>
      </c>
      <c r="G12" s="343">
        <v>18</v>
      </c>
    </row>
    <row r="13" spans="1:11" x14ac:dyDescent="0.3">
      <c r="A13" s="305">
        <v>5</v>
      </c>
      <c r="B13" s="126" t="s">
        <v>18</v>
      </c>
      <c r="C13" s="827">
        <v>9</v>
      </c>
      <c r="D13" s="344">
        <v>23</v>
      </c>
      <c r="E13" s="344">
        <v>5</v>
      </c>
      <c r="F13" s="344">
        <v>0</v>
      </c>
      <c r="G13" s="343">
        <v>44</v>
      </c>
    </row>
    <row r="14" spans="1:11" x14ac:dyDescent="0.3">
      <c r="A14" s="1291">
        <v>6</v>
      </c>
      <c r="B14" s="1294" t="s">
        <v>19</v>
      </c>
      <c r="C14" s="827">
        <v>9</v>
      </c>
      <c r="D14" s="344">
        <v>20</v>
      </c>
      <c r="E14" s="344">
        <v>6</v>
      </c>
      <c r="F14" s="344">
        <v>0</v>
      </c>
      <c r="G14" s="343">
        <v>0</v>
      </c>
      <c r="I14" s="2" t="s">
        <v>108</v>
      </c>
    </row>
    <row r="15" spans="1:11" x14ac:dyDescent="0.3">
      <c r="A15" s="1291">
        <v>7</v>
      </c>
      <c r="B15" s="1294" t="s">
        <v>20</v>
      </c>
      <c r="C15" s="827">
        <v>9</v>
      </c>
      <c r="D15" s="344">
        <v>19</v>
      </c>
      <c r="E15" s="344">
        <v>6.3</v>
      </c>
      <c r="F15" s="344">
        <v>0</v>
      </c>
      <c r="G15" s="343">
        <v>0</v>
      </c>
    </row>
    <row r="16" spans="1:11" x14ac:dyDescent="0.3">
      <c r="A16" s="305">
        <v>8</v>
      </c>
      <c r="B16" s="126" t="s">
        <v>21</v>
      </c>
      <c r="C16" s="827">
        <v>5.5</v>
      </c>
      <c r="D16" s="344">
        <v>18.2</v>
      </c>
      <c r="E16" s="344">
        <v>1.9</v>
      </c>
      <c r="F16" s="344">
        <v>0</v>
      </c>
      <c r="G16" s="343">
        <v>28</v>
      </c>
      <c r="K16" s="2" t="s">
        <v>315</v>
      </c>
    </row>
    <row r="17" spans="1:10" x14ac:dyDescent="0.3">
      <c r="A17" s="305">
        <v>9</v>
      </c>
      <c r="B17" s="126" t="s">
        <v>22</v>
      </c>
      <c r="C17" s="827">
        <v>15.6</v>
      </c>
      <c r="D17" s="344">
        <v>67</v>
      </c>
      <c r="E17" s="344">
        <v>6.3</v>
      </c>
      <c r="F17" s="344">
        <v>0</v>
      </c>
      <c r="G17" s="343">
        <v>0</v>
      </c>
      <c r="I17" s="2" t="s">
        <v>108</v>
      </c>
    </row>
    <row r="18" spans="1:10" x14ac:dyDescent="0.3">
      <c r="A18" s="305">
        <v>10</v>
      </c>
      <c r="B18" s="126" t="s">
        <v>23</v>
      </c>
      <c r="C18" s="827">
        <v>9.6</v>
      </c>
      <c r="D18" s="344">
        <v>26.3</v>
      </c>
      <c r="E18" s="344">
        <v>6.2</v>
      </c>
      <c r="F18" s="344">
        <v>0</v>
      </c>
      <c r="G18" s="343">
        <v>0</v>
      </c>
    </row>
    <row r="19" spans="1:10" x14ac:dyDescent="0.3">
      <c r="A19" s="1291">
        <v>11</v>
      </c>
      <c r="B19" s="1294" t="s">
        <v>24</v>
      </c>
      <c r="C19" s="827">
        <v>5.7</v>
      </c>
      <c r="D19" s="344">
        <v>19.7</v>
      </c>
      <c r="E19" s="344">
        <v>2.4</v>
      </c>
      <c r="F19" s="344">
        <v>2</v>
      </c>
      <c r="G19" s="343">
        <v>0</v>
      </c>
      <c r="J19" s="2" t="s">
        <v>108</v>
      </c>
    </row>
    <row r="20" spans="1:10" x14ac:dyDescent="0.3">
      <c r="A20" s="305">
        <v>12</v>
      </c>
      <c r="B20" s="126" t="s">
        <v>25</v>
      </c>
      <c r="C20" s="827">
        <v>16.7</v>
      </c>
      <c r="D20" s="344">
        <v>56.1</v>
      </c>
      <c r="E20" s="344">
        <v>7.4</v>
      </c>
      <c r="F20" s="344">
        <v>0</v>
      </c>
      <c r="G20" s="343">
        <v>53.5</v>
      </c>
    </row>
    <row r="21" spans="1:10" x14ac:dyDescent="0.3">
      <c r="A21" s="305">
        <v>13</v>
      </c>
      <c r="B21" s="126" t="s">
        <v>26</v>
      </c>
      <c r="C21" s="827">
        <v>6.6</v>
      </c>
      <c r="D21" s="344">
        <v>21.2</v>
      </c>
      <c r="E21" s="344">
        <v>3.2</v>
      </c>
      <c r="F21" s="344">
        <v>0</v>
      </c>
      <c r="G21" s="343">
        <v>0</v>
      </c>
    </row>
    <row r="22" spans="1:10" x14ac:dyDescent="0.3">
      <c r="A22" s="305">
        <v>14</v>
      </c>
      <c r="B22" s="126" t="s">
        <v>27</v>
      </c>
      <c r="C22" s="827">
        <v>7.8</v>
      </c>
      <c r="D22" s="344">
        <v>25.8</v>
      </c>
      <c r="E22" s="344">
        <v>3.1</v>
      </c>
      <c r="F22" s="344">
        <v>4</v>
      </c>
      <c r="G22" s="343">
        <v>1</v>
      </c>
    </row>
    <row r="23" spans="1:10" ht="12" thickBot="1" x14ac:dyDescent="0.35">
      <c r="A23" s="746">
        <v>15</v>
      </c>
      <c r="B23" s="1295" t="s">
        <v>28</v>
      </c>
      <c r="C23" s="828">
        <v>7.4</v>
      </c>
      <c r="D23" s="727">
        <v>28.8</v>
      </c>
      <c r="E23" s="727">
        <v>4.5</v>
      </c>
      <c r="F23" s="727">
        <v>0</v>
      </c>
      <c r="G23" s="728">
        <v>0</v>
      </c>
    </row>
    <row r="24" spans="1:10" customFormat="1" ht="12.45" x14ac:dyDescent="0.3">
      <c r="A24" s="1041"/>
      <c r="B24" s="1029" t="s">
        <v>551</v>
      </c>
      <c r="C24" s="960">
        <f t="shared" ref="C24:E24" si="0">AVERAGE(C9:C23)</f>
        <v>9.9933333333333341</v>
      </c>
      <c r="D24" s="961">
        <f t="shared" si="0"/>
        <v>31.873333333333335</v>
      </c>
      <c r="E24" s="961">
        <f t="shared" si="0"/>
        <v>5.2866666666666662</v>
      </c>
      <c r="F24" s="1395">
        <f>(F10+F11+F19+F22)/4</f>
        <v>11.5</v>
      </c>
      <c r="G24" s="962">
        <f>(G9+G10+G11+G12+G13+G16+G20)/7</f>
        <v>37.642857142857146</v>
      </c>
      <c r="H24" s="2"/>
    </row>
    <row r="25" spans="1:10" s="415" customFormat="1" ht="12.45" x14ac:dyDescent="0.3">
      <c r="A25" s="357"/>
      <c r="B25" s="1296" t="s">
        <v>468</v>
      </c>
      <c r="C25" s="827">
        <v>13.086666666666668</v>
      </c>
      <c r="D25" s="344">
        <v>30.846666666666668</v>
      </c>
      <c r="E25" s="344">
        <v>8.66</v>
      </c>
      <c r="F25" s="344">
        <v>27.883333333333336</v>
      </c>
      <c r="G25" s="343">
        <v>31.385714285714283</v>
      </c>
      <c r="H25" s="413"/>
    </row>
    <row r="26" spans="1:10" s="415" customFormat="1" ht="12.45" x14ac:dyDescent="0.3">
      <c r="A26" s="357"/>
      <c r="B26" s="1296" t="s">
        <v>416</v>
      </c>
      <c r="C26" s="901">
        <v>9.793333333333333</v>
      </c>
      <c r="D26" s="344">
        <v>33.633333333333333</v>
      </c>
      <c r="E26" s="344">
        <v>4.4799999999999995</v>
      </c>
      <c r="F26" s="344">
        <v>41.46</v>
      </c>
      <c r="G26" s="343">
        <v>47</v>
      </c>
      <c r="H26" s="413"/>
    </row>
    <row r="27" spans="1:10" s="415" customFormat="1" ht="12.45" x14ac:dyDescent="0.3">
      <c r="A27" s="357"/>
      <c r="B27" s="1296" t="s">
        <v>373</v>
      </c>
      <c r="C27" s="901">
        <v>10.693333333333333</v>
      </c>
      <c r="D27" s="344">
        <v>35.526666666666664</v>
      </c>
      <c r="E27" s="344">
        <v>5.0773333333333328</v>
      </c>
      <c r="F27" s="344">
        <v>22.314285714285713</v>
      </c>
      <c r="G27" s="343">
        <v>41.083333333333336</v>
      </c>
      <c r="H27" s="413"/>
    </row>
    <row r="28" spans="1:10" s="415" customFormat="1" ht="12.45" x14ac:dyDescent="0.3">
      <c r="A28" s="357"/>
      <c r="B28" s="1296" t="s">
        <v>363</v>
      </c>
      <c r="C28" s="827">
        <v>12.44</v>
      </c>
      <c r="D28" s="344">
        <v>36.686666666666675</v>
      </c>
      <c r="E28" s="344">
        <v>6.5466666666666669</v>
      </c>
      <c r="F28" s="344">
        <v>20.673333333333332</v>
      </c>
      <c r="G28" s="343">
        <v>28.58</v>
      </c>
      <c r="H28" s="413"/>
    </row>
    <row r="29" spans="1:10" s="415" customFormat="1" ht="12.45" x14ac:dyDescent="0.3">
      <c r="A29" s="357"/>
      <c r="B29" s="1296" t="s">
        <v>362</v>
      </c>
      <c r="C29" s="827">
        <v>12.913333333333334</v>
      </c>
      <c r="D29" s="344">
        <v>41.14</v>
      </c>
      <c r="E29" s="344">
        <v>6.8333333333333339</v>
      </c>
      <c r="F29" s="344">
        <v>25.026666666666667</v>
      </c>
      <c r="G29" s="343">
        <v>19.600000000000001</v>
      </c>
      <c r="H29" s="413"/>
    </row>
    <row r="30" spans="1:10" s="349" customFormat="1" ht="12.9" thickBot="1" x14ac:dyDescent="0.35">
      <c r="A30" s="766"/>
      <c r="B30" s="1297" t="s">
        <v>469</v>
      </c>
      <c r="C30" s="828">
        <v>12.273333333333335</v>
      </c>
      <c r="D30" s="727">
        <v>39.906666666666666</v>
      </c>
      <c r="E30" s="727">
        <v>6.3633333333333324</v>
      </c>
      <c r="F30" s="727">
        <v>18.02</v>
      </c>
      <c r="G30" s="728">
        <v>24.98</v>
      </c>
      <c r="H30" s="345"/>
    </row>
    <row r="31" spans="1:10" customFormat="1" ht="12.45" x14ac:dyDescent="0.3">
      <c r="A31" s="1" t="s">
        <v>36</v>
      </c>
      <c r="B31" s="2"/>
      <c r="C31" s="2"/>
      <c r="D31" s="2"/>
      <c r="E31" s="2"/>
      <c r="F31" s="2"/>
      <c r="G31" s="2"/>
      <c r="H31" s="2"/>
    </row>
    <row r="32" spans="1:10" customFormat="1" ht="12.45" x14ac:dyDescent="0.3">
      <c r="A32" s="1"/>
      <c r="B32" s="2"/>
      <c r="C32" s="2"/>
      <c r="D32" s="2"/>
      <c r="E32" s="2"/>
      <c r="F32" s="2"/>
      <c r="G32" s="2"/>
      <c r="H32" s="2"/>
    </row>
    <row r="44" spans="5:5" x14ac:dyDescent="0.3">
      <c r="E44" s="2" t="s">
        <v>108</v>
      </c>
    </row>
  </sheetData>
  <mergeCells count="1">
    <mergeCell ref="C7:G7"/>
  </mergeCells>
  <printOptions horizontalCentered="1" verticalCentered="1"/>
  <pageMargins left="0.7" right="0.7" top="0.75" bottom="0.75" header="0.3" footer="0.3"/>
  <pageSetup paperSize="9" fitToWidth="0" fitToHeight="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rgb="FFFF0000"/>
  </sheetPr>
  <dimension ref="A1:U62"/>
  <sheetViews>
    <sheetView showGridLines="0" zoomScaleNormal="100" workbookViewId="0">
      <selection activeCell="K4" sqref="K4"/>
    </sheetView>
  </sheetViews>
  <sheetFormatPr baseColWidth="10" defaultColWidth="11.4609375" defaultRowHeight="11.6" x14ac:dyDescent="0.3"/>
  <cols>
    <col min="1" max="1" width="6.07421875" style="5" bestFit="1" customWidth="1"/>
    <col min="2" max="2" width="20.07421875" style="2" customWidth="1"/>
    <col min="3" max="3" width="10.84375" style="2" customWidth="1"/>
    <col min="4" max="4" width="10.84375" style="413" customWidth="1"/>
    <col min="5" max="5" width="11.3046875" style="2" customWidth="1"/>
    <col min="6" max="6" width="10.84375" style="2" customWidth="1"/>
    <col min="7" max="7" width="10.84375" style="413" customWidth="1"/>
    <col min="8" max="8" width="11.3046875" style="2" customWidth="1"/>
    <col min="9" max="9" width="12.53515625" style="2" customWidth="1"/>
    <col min="10" max="10" width="12.53515625" style="413" customWidth="1"/>
    <col min="11" max="11" width="12.84375" style="2" customWidth="1"/>
    <col min="12" max="16" width="11.4609375" style="2"/>
    <col min="17" max="17" width="43.84375" style="2" customWidth="1"/>
    <col min="18" max="18" width="17.4609375" style="2" customWidth="1"/>
    <col min="19" max="19" width="16.69140625" style="2" customWidth="1"/>
    <col min="20" max="16384" width="11.4609375" style="2"/>
  </cols>
  <sheetData>
    <row r="1" spans="1:19" x14ac:dyDescent="0.3">
      <c r="A1" s="107" t="s">
        <v>135</v>
      </c>
      <c r="B1" s="108"/>
    </row>
    <row r="2" spans="1:19" x14ac:dyDescent="0.3">
      <c r="A2" s="1" t="s">
        <v>0</v>
      </c>
    </row>
    <row r="3" spans="1:19" x14ac:dyDescent="0.3">
      <c r="A3" s="1"/>
    </row>
    <row r="4" spans="1:19" x14ac:dyDescent="0.3">
      <c r="A4" s="1" t="str">
        <f>A7</f>
        <v xml:space="preserve">Tabell 3 -2 - C -  Utskrivningsklare pasienter i somatiske og psykiatriske sykehusavdelinger </v>
      </c>
    </row>
    <row r="5" spans="1:19" x14ac:dyDescent="0.3">
      <c r="A5" s="1"/>
      <c r="M5" s="118"/>
    </row>
    <row r="6" spans="1:19" x14ac:dyDescent="0.3">
      <c r="A6" s="118"/>
    </row>
    <row r="7" spans="1:19" s="8" customFormat="1" ht="30" customHeight="1" thickBot="1" x14ac:dyDescent="0.35">
      <c r="A7" s="7" t="s">
        <v>146</v>
      </c>
      <c r="N7" s="8" t="s">
        <v>108</v>
      </c>
      <c r="P7" s="7" t="s">
        <v>146</v>
      </c>
    </row>
    <row r="8" spans="1:19" s="84" customFormat="1" ht="57.75" customHeight="1" thickBot="1" x14ac:dyDescent="0.35">
      <c r="A8" s="9"/>
      <c r="B8" s="10"/>
      <c r="C8" s="1645" t="s">
        <v>136</v>
      </c>
      <c r="D8" s="1646"/>
      <c r="E8" s="1647"/>
      <c r="F8" s="1645" t="s">
        <v>137</v>
      </c>
      <c r="G8" s="1646"/>
      <c r="H8" s="1647"/>
      <c r="I8" s="1648" t="s">
        <v>138</v>
      </c>
      <c r="J8" s="1649"/>
      <c r="K8" s="1650"/>
      <c r="P8" s="9"/>
      <c r="Q8" s="10"/>
      <c r="R8" s="1651" t="s">
        <v>138</v>
      </c>
      <c r="S8" s="1652"/>
    </row>
    <row r="9" spans="1:19" s="84" customFormat="1" ht="66.75" customHeight="1" thickBot="1" x14ac:dyDescent="0.35">
      <c r="A9" s="13" t="s">
        <v>2</v>
      </c>
      <c r="B9" s="14" t="s">
        <v>3</v>
      </c>
      <c r="C9" s="67" t="s">
        <v>603</v>
      </c>
      <c r="D9" s="13" t="s">
        <v>140</v>
      </c>
      <c r="E9" s="1624" t="s">
        <v>604</v>
      </c>
      <c r="F9" s="36" t="s">
        <v>139</v>
      </c>
      <c r="G9" s="13" t="s">
        <v>140</v>
      </c>
      <c r="H9" s="1621" t="s">
        <v>604</v>
      </c>
      <c r="I9" s="1134" t="s">
        <v>139</v>
      </c>
      <c r="J9" s="54" t="s">
        <v>140</v>
      </c>
      <c r="K9" s="1622" t="s">
        <v>604</v>
      </c>
      <c r="M9" s="2"/>
      <c r="P9" s="13" t="s">
        <v>2</v>
      </c>
      <c r="Q9" s="14" t="s">
        <v>3</v>
      </c>
      <c r="R9" s="1134" t="s">
        <v>139</v>
      </c>
      <c r="S9" s="1042" t="s">
        <v>460</v>
      </c>
    </row>
    <row r="10" spans="1:19" ht="12.9" customHeight="1" x14ac:dyDescent="0.3">
      <c r="A10" s="17">
        <v>1</v>
      </c>
      <c r="B10" s="18" t="s">
        <v>14</v>
      </c>
      <c r="C10" s="891">
        <v>70</v>
      </c>
      <c r="D10" s="891">
        <v>253</v>
      </c>
      <c r="E10" s="891">
        <v>0</v>
      </c>
      <c r="F10" s="104">
        <v>944</v>
      </c>
      <c r="G10" s="891">
        <v>54</v>
      </c>
      <c r="H10" s="891">
        <v>3</v>
      </c>
      <c r="I10" s="891">
        <v>342</v>
      </c>
      <c r="J10" s="891">
        <v>1236</v>
      </c>
      <c r="K10" s="891">
        <v>0</v>
      </c>
      <c r="M10" s="347"/>
      <c r="N10" s="2" t="s">
        <v>432</v>
      </c>
      <c r="P10" s="17">
        <v>1</v>
      </c>
      <c r="Q10" s="18" t="s">
        <v>14</v>
      </c>
      <c r="R10" s="891">
        <v>563</v>
      </c>
      <c r="S10" s="891">
        <f t="shared" ref="S10:S24" si="0">(R10*1000)/$R$29</f>
        <v>118.60122182431009</v>
      </c>
    </row>
    <row r="11" spans="1:19" ht="12.9" customHeight="1" x14ac:dyDescent="0.3">
      <c r="A11" s="23">
        <v>2</v>
      </c>
      <c r="B11" s="24" t="s">
        <v>15</v>
      </c>
      <c r="C11" s="892">
        <v>151</v>
      </c>
      <c r="D11" s="892">
        <v>27</v>
      </c>
      <c r="E11" s="892">
        <v>0</v>
      </c>
      <c r="F11" s="1140">
        <v>948</v>
      </c>
      <c r="G11" s="892">
        <v>92</v>
      </c>
      <c r="H11" s="892">
        <v>3</v>
      </c>
      <c r="I11" s="892">
        <v>646</v>
      </c>
      <c r="J11" s="892">
        <v>24</v>
      </c>
      <c r="K11" s="892">
        <v>0</v>
      </c>
      <c r="M11" s="347"/>
      <c r="P11" s="23">
        <v>2</v>
      </c>
      <c r="Q11" s="24" t="s">
        <v>15</v>
      </c>
      <c r="R11" s="892">
        <v>412</v>
      </c>
      <c r="S11" s="892">
        <f t="shared" si="0"/>
        <v>86.791657889193175</v>
      </c>
    </row>
    <row r="12" spans="1:19" ht="12.9" customHeight="1" x14ac:dyDescent="0.3">
      <c r="A12" s="23">
        <v>3</v>
      </c>
      <c r="B12" s="24" t="s">
        <v>16</v>
      </c>
      <c r="C12" s="892">
        <v>29</v>
      </c>
      <c r="D12" s="892">
        <v>20</v>
      </c>
      <c r="E12" s="892">
        <v>0</v>
      </c>
      <c r="F12" s="1140">
        <v>930</v>
      </c>
      <c r="G12" s="892">
        <v>62</v>
      </c>
      <c r="H12" s="892">
        <v>9</v>
      </c>
      <c r="I12" s="892">
        <v>142</v>
      </c>
      <c r="J12" s="892">
        <v>98</v>
      </c>
      <c r="K12" s="892">
        <v>0</v>
      </c>
      <c r="M12" s="347"/>
      <c r="P12" s="23">
        <v>3</v>
      </c>
      <c r="Q12" s="24" t="s">
        <v>16</v>
      </c>
      <c r="R12" s="892">
        <v>228</v>
      </c>
      <c r="S12" s="892">
        <f t="shared" si="0"/>
        <v>48.030334948388457</v>
      </c>
    </row>
    <row r="13" spans="1:19" ht="12.9" customHeight="1" x14ac:dyDescent="0.3">
      <c r="A13" s="23">
        <v>4</v>
      </c>
      <c r="B13" s="24" t="s">
        <v>17</v>
      </c>
      <c r="C13" s="892">
        <v>118</v>
      </c>
      <c r="D13" s="892">
        <v>120</v>
      </c>
      <c r="E13" s="892">
        <v>0</v>
      </c>
      <c r="F13" s="1140">
        <v>478</v>
      </c>
      <c r="G13" s="892">
        <v>24</v>
      </c>
      <c r="H13" s="892">
        <v>0</v>
      </c>
      <c r="I13" s="892">
        <v>0</v>
      </c>
      <c r="J13" s="892">
        <v>0</v>
      </c>
      <c r="K13" s="892">
        <v>0</v>
      </c>
      <c r="M13" s="347"/>
      <c r="P13" s="23">
        <v>4</v>
      </c>
      <c r="Q13" s="24" t="s">
        <v>17</v>
      </c>
      <c r="R13" s="892">
        <v>1038</v>
      </c>
      <c r="S13" s="892">
        <f t="shared" si="0"/>
        <v>218.6644196334527</v>
      </c>
    </row>
    <row r="14" spans="1:19" ht="12.9" customHeight="1" x14ac:dyDescent="0.3">
      <c r="A14" s="23">
        <v>5</v>
      </c>
      <c r="B14" s="24" t="s">
        <v>18</v>
      </c>
      <c r="C14" s="892">
        <v>122</v>
      </c>
      <c r="D14" s="892">
        <v>22</v>
      </c>
      <c r="E14" s="892">
        <v>0</v>
      </c>
      <c r="F14" s="1140">
        <v>1362</v>
      </c>
      <c r="G14" s="892">
        <v>49</v>
      </c>
      <c r="H14" s="892">
        <v>1</v>
      </c>
      <c r="I14" s="892">
        <v>596</v>
      </c>
      <c r="J14" s="892">
        <v>107</v>
      </c>
      <c r="K14" s="892">
        <v>0</v>
      </c>
      <c r="M14" s="347"/>
      <c r="P14" s="23">
        <v>5</v>
      </c>
      <c r="Q14" s="24" t="s">
        <v>18</v>
      </c>
      <c r="R14" s="892">
        <f>'[2]MALT2-2018A.XLS'!$G$527</f>
        <v>1787</v>
      </c>
      <c r="S14" s="892">
        <f t="shared" si="0"/>
        <v>376.44828312618495</v>
      </c>
    </row>
    <row r="15" spans="1:19" ht="12.75" customHeight="1" x14ac:dyDescent="0.3">
      <c r="A15" s="25">
        <v>6</v>
      </c>
      <c r="B15" s="26" t="s">
        <v>19</v>
      </c>
      <c r="C15" s="892">
        <v>177</v>
      </c>
      <c r="D15" s="892">
        <v>50</v>
      </c>
      <c r="E15" s="892">
        <v>0</v>
      </c>
      <c r="F15" s="1140">
        <v>976</v>
      </c>
      <c r="G15" s="892">
        <v>28</v>
      </c>
      <c r="H15" s="892">
        <v>0</v>
      </c>
      <c r="I15" s="892">
        <v>851.279</v>
      </c>
      <c r="J15" s="892">
        <v>0</v>
      </c>
      <c r="K15" s="892">
        <v>234.48</v>
      </c>
      <c r="M15" s="347"/>
      <c r="P15" s="25">
        <v>6</v>
      </c>
      <c r="Q15" s="26" t="s">
        <v>19</v>
      </c>
      <c r="R15" s="892">
        <v>1770.6310000000001</v>
      </c>
      <c r="S15" s="892">
        <f t="shared" si="0"/>
        <v>373</v>
      </c>
    </row>
    <row r="16" spans="1:19" ht="12.9" customHeight="1" x14ac:dyDescent="0.3">
      <c r="A16" s="25">
        <v>7</v>
      </c>
      <c r="B16" s="26" t="s">
        <v>20</v>
      </c>
      <c r="C16" s="892">
        <v>221</v>
      </c>
      <c r="D16" s="892">
        <v>174</v>
      </c>
      <c r="E16" s="892">
        <v>0</v>
      </c>
      <c r="F16" s="1140">
        <v>1256</v>
      </c>
      <c r="G16" s="892">
        <v>35</v>
      </c>
      <c r="H16" s="892">
        <v>1</v>
      </c>
      <c r="I16" s="892">
        <v>1080</v>
      </c>
      <c r="J16" s="892">
        <v>850</v>
      </c>
      <c r="K16" s="892">
        <v>0</v>
      </c>
      <c r="M16" s="347"/>
      <c r="P16" s="25">
        <v>7</v>
      </c>
      <c r="Q16" s="26" t="s">
        <v>20</v>
      </c>
      <c r="R16" s="892">
        <v>1533</v>
      </c>
      <c r="S16" s="892">
        <f t="shared" si="0"/>
        <v>322.94080471876975</v>
      </c>
    </row>
    <row r="17" spans="1:19" ht="12.9" customHeight="1" x14ac:dyDescent="0.3">
      <c r="A17" s="23">
        <v>8</v>
      </c>
      <c r="B17" s="24" t="s">
        <v>21</v>
      </c>
      <c r="C17" s="892">
        <v>127</v>
      </c>
      <c r="D17" s="892">
        <v>32</v>
      </c>
      <c r="E17" s="892">
        <v>0</v>
      </c>
      <c r="F17" s="1140">
        <v>964</v>
      </c>
      <c r="G17" s="892">
        <v>25</v>
      </c>
      <c r="H17" s="892">
        <v>3</v>
      </c>
      <c r="I17" s="892">
        <v>641</v>
      </c>
      <c r="J17" s="892">
        <v>98</v>
      </c>
      <c r="K17" s="892">
        <v>0</v>
      </c>
      <c r="M17" s="347"/>
      <c r="P17" s="23">
        <v>8</v>
      </c>
      <c r="Q17" s="24" t="s">
        <v>21</v>
      </c>
      <c r="R17" s="892">
        <v>2433</v>
      </c>
      <c r="S17" s="892">
        <f t="shared" si="0"/>
        <v>512.53423214661893</v>
      </c>
    </row>
    <row r="18" spans="1:19" ht="12.9" customHeight="1" x14ac:dyDescent="0.3">
      <c r="A18" s="23">
        <v>9</v>
      </c>
      <c r="B18" s="24" t="s">
        <v>22</v>
      </c>
      <c r="C18" s="892">
        <v>92</v>
      </c>
      <c r="D18" s="892">
        <v>0</v>
      </c>
      <c r="E18" s="892">
        <v>0</v>
      </c>
      <c r="F18" s="1140">
        <v>794</v>
      </c>
      <c r="G18" s="892">
        <v>25</v>
      </c>
      <c r="H18" s="892">
        <v>1</v>
      </c>
      <c r="I18" s="892">
        <v>448</v>
      </c>
      <c r="J18" s="892">
        <v>0</v>
      </c>
      <c r="K18" s="892">
        <v>0</v>
      </c>
      <c r="M18" s="347"/>
      <c r="P18" s="23">
        <v>9</v>
      </c>
      <c r="Q18" s="24" t="s">
        <v>22</v>
      </c>
      <c r="R18" s="892">
        <v>517</v>
      </c>
      <c r="S18" s="892">
        <f t="shared" si="0"/>
        <v>108.91089108910892</v>
      </c>
    </row>
    <row r="19" spans="1:19" ht="12.9" customHeight="1" x14ac:dyDescent="0.3">
      <c r="A19" s="23">
        <v>10</v>
      </c>
      <c r="B19" s="24" t="s">
        <v>23</v>
      </c>
      <c r="C19" s="892">
        <v>214</v>
      </c>
      <c r="D19" s="892">
        <v>137</v>
      </c>
      <c r="E19" s="892">
        <v>0</v>
      </c>
      <c r="F19" s="1140">
        <v>889</v>
      </c>
      <c r="G19" s="892">
        <v>93</v>
      </c>
      <c r="H19" s="892">
        <v>0</v>
      </c>
      <c r="I19" s="892">
        <v>1045</v>
      </c>
      <c r="J19" s="892">
        <v>669</v>
      </c>
      <c r="K19" s="892">
        <v>0</v>
      </c>
      <c r="M19" s="347"/>
      <c r="P19" s="23">
        <v>10</v>
      </c>
      <c r="Q19" s="24" t="s">
        <v>23</v>
      </c>
      <c r="R19" s="892">
        <v>797</v>
      </c>
      <c r="S19" s="892">
        <f t="shared" si="0"/>
        <v>167.89551295555088</v>
      </c>
    </row>
    <row r="20" spans="1:19" ht="11.25" customHeight="1" x14ac:dyDescent="0.3">
      <c r="A20" s="23">
        <v>11</v>
      </c>
      <c r="B20" s="24" t="s">
        <v>24</v>
      </c>
      <c r="C20" s="892">
        <v>57</v>
      </c>
      <c r="D20" s="892">
        <v>21</v>
      </c>
      <c r="E20" s="892">
        <v>0</v>
      </c>
      <c r="F20" s="1140">
        <v>999</v>
      </c>
      <c r="G20" s="892">
        <v>56</v>
      </c>
      <c r="H20" s="892">
        <v>17</v>
      </c>
      <c r="I20" s="892">
        <v>441</v>
      </c>
      <c r="J20" s="892">
        <v>163</v>
      </c>
      <c r="K20" s="892">
        <v>0</v>
      </c>
      <c r="M20" s="347"/>
      <c r="P20" s="23">
        <v>11</v>
      </c>
      <c r="Q20" s="24" t="s">
        <v>24</v>
      </c>
      <c r="R20" s="892">
        <v>1609</v>
      </c>
      <c r="S20" s="892">
        <f t="shared" si="0"/>
        <v>338.95091636823258</v>
      </c>
    </row>
    <row r="21" spans="1:19" ht="12.9" customHeight="1" x14ac:dyDescent="0.3">
      <c r="A21" s="23">
        <v>12</v>
      </c>
      <c r="B21" s="24" t="s">
        <v>25</v>
      </c>
      <c r="C21" s="892">
        <v>238</v>
      </c>
      <c r="D21" s="892">
        <v>125</v>
      </c>
      <c r="E21" s="892">
        <v>1</v>
      </c>
      <c r="F21" s="1140">
        <v>1065</v>
      </c>
      <c r="G21" s="892">
        <v>41</v>
      </c>
      <c r="H21" s="892">
        <v>9</v>
      </c>
      <c r="I21" s="892">
        <v>1664</v>
      </c>
      <c r="J21" s="892">
        <v>616</v>
      </c>
      <c r="K21" s="892">
        <v>0</v>
      </c>
      <c r="M21" s="347"/>
      <c r="P21" s="23">
        <v>12</v>
      </c>
      <c r="Q21" s="24" t="s">
        <v>25</v>
      </c>
      <c r="R21" s="892">
        <v>3636</v>
      </c>
      <c r="S21" s="892">
        <f t="shared" si="0"/>
        <v>765.95744680851067</v>
      </c>
    </row>
    <row r="22" spans="1:19" ht="12.9" customHeight="1" x14ac:dyDescent="0.3">
      <c r="A22" s="23">
        <v>13</v>
      </c>
      <c r="B22" s="24" t="s">
        <v>26</v>
      </c>
      <c r="C22" s="892">
        <v>1044</v>
      </c>
      <c r="D22" s="892">
        <v>48</v>
      </c>
      <c r="E22" s="892">
        <v>0</v>
      </c>
      <c r="F22" s="1140">
        <v>1580</v>
      </c>
      <c r="G22" s="892">
        <v>13</v>
      </c>
      <c r="H22" s="892">
        <v>0</v>
      </c>
      <c r="I22" s="892">
        <v>5100</v>
      </c>
      <c r="J22" s="892">
        <v>234</v>
      </c>
      <c r="K22" s="892">
        <v>0</v>
      </c>
      <c r="M22" s="347"/>
      <c r="P22" s="23">
        <v>13</v>
      </c>
      <c r="Q22" s="24" t="s">
        <v>26</v>
      </c>
      <c r="R22" s="892">
        <v>3307</v>
      </c>
      <c r="S22" s="892">
        <f t="shared" si="0"/>
        <v>696.65051611544129</v>
      </c>
    </row>
    <row r="23" spans="1:19" ht="12.9" customHeight="1" x14ac:dyDescent="0.3">
      <c r="A23" s="23">
        <v>14</v>
      </c>
      <c r="B23" s="24" t="s">
        <v>27</v>
      </c>
      <c r="C23" s="892">
        <v>110</v>
      </c>
      <c r="D23" s="892">
        <v>152</v>
      </c>
      <c r="E23" s="892">
        <v>0</v>
      </c>
      <c r="F23" s="1140">
        <v>1278</v>
      </c>
      <c r="G23" s="892">
        <v>38</v>
      </c>
      <c r="H23" s="892">
        <v>0</v>
      </c>
      <c r="I23" s="892">
        <v>855</v>
      </c>
      <c r="J23" s="892">
        <v>555</v>
      </c>
      <c r="K23" s="892">
        <v>0</v>
      </c>
      <c r="M23" s="347"/>
      <c r="P23" s="23">
        <v>14</v>
      </c>
      <c r="Q23" s="24" t="s">
        <v>27</v>
      </c>
      <c r="R23" s="892">
        <v>2169</v>
      </c>
      <c r="S23" s="892">
        <f t="shared" si="0"/>
        <v>456.92016010111649</v>
      </c>
    </row>
    <row r="24" spans="1:19" ht="12.9" customHeight="1" thickBot="1" x14ac:dyDescent="0.35">
      <c r="A24" s="27">
        <v>15</v>
      </c>
      <c r="B24" s="28" t="s">
        <v>28</v>
      </c>
      <c r="C24" s="893">
        <v>96</v>
      </c>
      <c r="D24" s="893">
        <v>205</v>
      </c>
      <c r="E24" s="893">
        <v>0</v>
      </c>
      <c r="F24" s="1141">
        <v>788</v>
      </c>
      <c r="G24" s="893">
        <v>32</v>
      </c>
      <c r="H24" s="893">
        <v>1</v>
      </c>
      <c r="I24" s="893">
        <v>478</v>
      </c>
      <c r="J24" s="893">
        <v>278</v>
      </c>
      <c r="K24" s="893">
        <v>0</v>
      </c>
      <c r="L24" s="2" t="s">
        <v>108</v>
      </c>
      <c r="M24" s="347"/>
      <c r="P24" s="27">
        <v>15</v>
      </c>
      <c r="Q24" s="28" t="s">
        <v>28</v>
      </c>
      <c r="R24" s="893">
        <v>266</v>
      </c>
      <c r="S24" s="893">
        <f t="shared" si="0"/>
        <v>56.035390773119865</v>
      </c>
    </row>
    <row r="25" spans="1:19" ht="12" thickBot="1" x14ac:dyDescent="0.35">
      <c r="A25" s="1142"/>
      <c r="B25" s="1143" t="s">
        <v>605</v>
      </c>
      <c r="C25" s="1623">
        <f t="shared" ref="C25:H25" si="1">SUM(C10:C24)</f>
        <v>2866</v>
      </c>
      <c r="D25" s="1623">
        <f t="shared" ref="D25" si="2">SUM(D10:D24)</f>
        <v>1386</v>
      </c>
      <c r="E25" s="1623">
        <f t="shared" si="1"/>
        <v>1</v>
      </c>
      <c r="F25" s="1144">
        <f t="shared" si="1"/>
        <v>15251</v>
      </c>
      <c r="G25" s="1144">
        <f t="shared" ref="G25" si="3">SUM(G10:G24)</f>
        <v>667</v>
      </c>
      <c r="H25" s="1144">
        <f t="shared" si="1"/>
        <v>48</v>
      </c>
      <c r="I25" s="1144">
        <f>SUM(I10:I24)</f>
        <v>14329.279</v>
      </c>
      <c r="J25" s="1144">
        <f t="shared" ref="J25:K25" si="4">SUM(J10:J24)</f>
        <v>4928</v>
      </c>
      <c r="K25" s="1144">
        <f t="shared" si="4"/>
        <v>234.48</v>
      </c>
      <c r="M25" s="347"/>
      <c r="P25" s="1142"/>
      <c r="Q25" s="1143" t="s">
        <v>459</v>
      </c>
      <c r="R25" s="1144">
        <f t="shared" ref="R25:S25" si="5">SUM(R10:R24)</f>
        <v>22065.631000000001</v>
      </c>
      <c r="S25" s="1144">
        <f t="shared" si="5"/>
        <v>4648.3317884979979</v>
      </c>
    </row>
    <row r="26" spans="1:19" s="413" customFormat="1" x14ac:dyDescent="0.3">
      <c r="A26" s="1242"/>
      <c r="B26" s="350" t="s">
        <v>459</v>
      </c>
      <c r="C26" s="491">
        <v>4254</v>
      </c>
      <c r="D26" s="491">
        <v>640</v>
      </c>
      <c r="E26" s="491" t="s">
        <v>126</v>
      </c>
      <c r="F26" s="491">
        <v>13519</v>
      </c>
      <c r="G26" s="491">
        <v>502</v>
      </c>
      <c r="H26" s="491" t="s">
        <v>126</v>
      </c>
      <c r="I26" s="491">
        <v>22065.631000000001</v>
      </c>
      <c r="J26" s="491" t="s">
        <v>126</v>
      </c>
      <c r="K26" s="491" t="s">
        <v>126</v>
      </c>
      <c r="M26" s="347"/>
      <c r="P26" s="791"/>
      <c r="Q26" s="1444"/>
      <c r="R26" s="1445"/>
      <c r="S26" s="1445"/>
    </row>
    <row r="27" spans="1:19" s="413" customFormat="1" x14ac:dyDescent="0.3">
      <c r="A27" s="416"/>
      <c r="B27" s="350" t="s">
        <v>528</v>
      </c>
      <c r="C27" s="491" t="s">
        <v>126</v>
      </c>
      <c r="D27" s="491" t="s">
        <v>126</v>
      </c>
      <c r="E27" s="491" t="s">
        <v>126</v>
      </c>
      <c r="F27" s="491" t="s">
        <v>126</v>
      </c>
      <c r="G27" s="491" t="s">
        <v>126</v>
      </c>
      <c r="H27" s="491" t="s">
        <v>126</v>
      </c>
      <c r="I27" s="491" t="s">
        <v>126</v>
      </c>
      <c r="J27" s="491" t="s">
        <v>126</v>
      </c>
      <c r="K27" s="491" t="s">
        <v>126</v>
      </c>
      <c r="M27" s="347"/>
    </row>
    <row r="28" spans="1:19" s="413" customFormat="1" x14ac:dyDescent="0.3">
      <c r="A28" s="416"/>
      <c r="B28" s="350" t="s">
        <v>370</v>
      </c>
      <c r="C28" s="491">
        <v>3519</v>
      </c>
      <c r="D28" s="491">
        <v>1142</v>
      </c>
      <c r="E28" s="491" t="s">
        <v>126</v>
      </c>
      <c r="F28" s="491">
        <v>12049</v>
      </c>
      <c r="G28" s="491">
        <v>512</v>
      </c>
      <c r="H28" s="491" t="s">
        <v>126</v>
      </c>
      <c r="I28" s="491">
        <v>8818.18</v>
      </c>
      <c r="J28" s="491" t="s">
        <v>126</v>
      </c>
      <c r="K28" s="491" t="s">
        <v>126</v>
      </c>
      <c r="M28" s="347"/>
    </row>
    <row r="29" spans="1:19" s="413" customFormat="1" ht="12.9" x14ac:dyDescent="0.35">
      <c r="A29" s="416"/>
      <c r="B29" s="350" t="s">
        <v>335</v>
      </c>
      <c r="C29" s="491">
        <v>3916</v>
      </c>
      <c r="D29" s="491">
        <v>1603</v>
      </c>
      <c r="E29" s="491" t="s">
        <v>126</v>
      </c>
      <c r="F29" s="491">
        <v>12267</v>
      </c>
      <c r="G29" s="491">
        <v>604</v>
      </c>
      <c r="H29" s="491" t="s">
        <v>126</v>
      </c>
      <c r="I29" s="491">
        <v>11006</v>
      </c>
      <c r="J29" s="491" t="s">
        <v>126</v>
      </c>
      <c r="K29" s="491" t="s">
        <v>126</v>
      </c>
      <c r="M29" s="347"/>
      <c r="Q29" s="413" t="s">
        <v>510</v>
      </c>
      <c r="R29" s="1146">
        <v>4747</v>
      </c>
    </row>
    <row r="30" spans="1:19" s="413" customFormat="1" x14ac:dyDescent="0.3">
      <c r="A30" s="416"/>
      <c r="B30" s="350" t="s">
        <v>301</v>
      </c>
      <c r="C30" s="491">
        <v>4755</v>
      </c>
      <c r="D30" s="491">
        <v>373</v>
      </c>
      <c r="E30" s="491" t="s">
        <v>126</v>
      </c>
      <c r="F30" s="491">
        <v>13294</v>
      </c>
      <c r="G30" s="491">
        <v>515</v>
      </c>
      <c r="H30" s="491" t="s">
        <v>126</v>
      </c>
      <c r="I30" s="491">
        <v>16199.8</v>
      </c>
      <c r="J30" s="491" t="s">
        <v>126</v>
      </c>
      <c r="K30" s="491" t="s">
        <v>126</v>
      </c>
      <c r="M30" s="347"/>
    </row>
    <row r="31" spans="1:19" s="413" customFormat="1" x14ac:dyDescent="0.3">
      <c r="A31" s="416"/>
      <c r="B31" s="350" t="s">
        <v>145</v>
      </c>
      <c r="C31" s="491">
        <v>3106</v>
      </c>
      <c r="D31" s="491">
        <v>190</v>
      </c>
      <c r="E31" s="491" t="s">
        <v>126</v>
      </c>
      <c r="F31" s="491">
        <v>13092</v>
      </c>
      <c r="G31" s="491">
        <v>451</v>
      </c>
      <c r="H31" s="491" t="s">
        <v>126</v>
      </c>
      <c r="I31" s="491">
        <v>13089</v>
      </c>
      <c r="J31" s="491" t="s">
        <v>126</v>
      </c>
      <c r="K31" s="491" t="s">
        <v>126</v>
      </c>
      <c r="M31" s="347"/>
    </row>
    <row r="32" spans="1:19" ht="12" thickBot="1" x14ac:dyDescent="0.35">
      <c r="A32" s="403"/>
      <c r="B32" s="105" t="s">
        <v>144</v>
      </c>
      <c r="C32" s="116">
        <v>3203</v>
      </c>
      <c r="D32" s="116">
        <v>485</v>
      </c>
      <c r="E32" s="491" t="s">
        <v>126</v>
      </c>
      <c r="F32" s="116">
        <v>11141</v>
      </c>
      <c r="G32" s="116">
        <v>260</v>
      </c>
      <c r="H32" s="491" t="s">
        <v>126</v>
      </c>
      <c r="I32" s="116">
        <v>7892</v>
      </c>
      <c r="J32" s="491" t="s">
        <v>126</v>
      </c>
      <c r="K32" s="491" t="s">
        <v>126</v>
      </c>
      <c r="M32" s="347"/>
    </row>
    <row r="33" spans="1:21" hidden="1" x14ac:dyDescent="0.3">
      <c r="A33" s="46"/>
      <c r="B33" s="47" t="s">
        <v>141</v>
      </c>
      <c r="C33" s="109">
        <v>162</v>
      </c>
      <c r="D33" s="1618"/>
      <c r="E33" s="110">
        <v>8</v>
      </c>
      <c r="F33" s="109"/>
      <c r="G33" s="1618"/>
      <c r="H33" s="110"/>
      <c r="I33" s="109">
        <v>10256</v>
      </c>
      <c r="J33" s="1618"/>
      <c r="K33" s="110">
        <v>0</v>
      </c>
      <c r="M33" s="347"/>
    </row>
    <row r="34" spans="1:21" ht="12" hidden="1" thickBot="1" x14ac:dyDescent="0.35">
      <c r="A34" s="45"/>
      <c r="B34" s="111" t="s">
        <v>142</v>
      </c>
      <c r="C34" s="112">
        <v>103</v>
      </c>
      <c r="D34" s="1619"/>
      <c r="E34" s="113">
        <v>10</v>
      </c>
      <c r="F34" s="112"/>
      <c r="G34" s="1619"/>
      <c r="H34" s="113"/>
      <c r="I34" s="114" t="s">
        <v>143</v>
      </c>
      <c r="J34" s="1620"/>
      <c r="K34" s="115" t="s">
        <v>143</v>
      </c>
      <c r="M34" s="347"/>
    </row>
    <row r="36" spans="1:21" x14ac:dyDescent="0.3">
      <c r="A36" s="60" t="s">
        <v>529</v>
      </c>
    </row>
    <row r="37" spans="1:21" x14ac:dyDescent="0.3">
      <c r="A37" s="60" t="s">
        <v>606</v>
      </c>
      <c r="H37" s="765"/>
    </row>
    <row r="38" spans="1:21" x14ac:dyDescent="0.3">
      <c r="H38" s="765"/>
      <c r="K38" s="2" t="s">
        <v>108</v>
      </c>
    </row>
    <row r="39" spans="1:21" ht="12.9" thickBot="1" x14ac:dyDescent="0.35">
      <c r="B39" s="2" t="s">
        <v>108</v>
      </c>
      <c r="H39" s="765"/>
      <c r="P39" s="7" t="s">
        <v>146</v>
      </c>
      <c r="Q39" s="8"/>
      <c r="R39" s="8"/>
      <c r="S39" s="8"/>
    </row>
    <row r="40" spans="1:21" ht="12" thickBot="1" x14ac:dyDescent="0.35">
      <c r="H40" s="765"/>
      <c r="P40" s="9"/>
      <c r="Q40" s="10"/>
      <c r="R40" s="1651" t="s">
        <v>138</v>
      </c>
      <c r="S40" s="1652"/>
    </row>
    <row r="41" spans="1:21" ht="58.3" thickBot="1" x14ac:dyDescent="0.35">
      <c r="H41" s="765"/>
      <c r="P41" s="13" t="s">
        <v>2</v>
      </c>
      <c r="Q41" s="14" t="s">
        <v>3</v>
      </c>
      <c r="R41" s="1134" t="s">
        <v>139</v>
      </c>
      <c r="S41" s="1042" t="s">
        <v>460</v>
      </c>
    </row>
    <row r="42" spans="1:21" ht="12.9" x14ac:dyDescent="0.35">
      <c r="H42" s="765"/>
      <c r="P42" s="17">
        <v>1</v>
      </c>
      <c r="Q42" s="18" t="s">
        <v>14</v>
      </c>
      <c r="R42" s="891">
        <v>0</v>
      </c>
      <c r="S42" s="891">
        <f>(R42*1000)/$R$60</f>
        <v>0</v>
      </c>
      <c r="U42" s="890"/>
    </row>
    <row r="43" spans="1:21" ht="12.9" x14ac:dyDescent="0.35">
      <c r="E43" s="2" t="s">
        <v>108</v>
      </c>
      <c r="H43" s="765"/>
      <c r="P43" s="23">
        <v>2</v>
      </c>
      <c r="Q43" s="24" t="s">
        <v>15</v>
      </c>
      <c r="R43" s="892">
        <v>0</v>
      </c>
      <c r="S43" s="892">
        <f t="shared" ref="S43:S56" si="6">(R43*1000)/$R$60</f>
        <v>0</v>
      </c>
      <c r="U43" s="890"/>
    </row>
    <row r="44" spans="1:21" ht="12.9" x14ac:dyDescent="0.35">
      <c r="P44" s="23">
        <v>3</v>
      </c>
      <c r="Q44" s="24" t="s">
        <v>16</v>
      </c>
      <c r="R44" s="892">
        <v>0</v>
      </c>
      <c r="S44" s="892">
        <f t="shared" si="6"/>
        <v>0</v>
      </c>
      <c r="U44" s="890"/>
    </row>
    <row r="45" spans="1:21" ht="12.9" x14ac:dyDescent="0.35">
      <c r="P45" s="23">
        <v>4</v>
      </c>
      <c r="Q45" s="24" t="s">
        <v>17</v>
      </c>
      <c r="R45" s="892">
        <v>0</v>
      </c>
      <c r="S45" s="892">
        <f t="shared" si="6"/>
        <v>0</v>
      </c>
      <c r="U45" s="890"/>
    </row>
    <row r="46" spans="1:21" ht="12.9" x14ac:dyDescent="0.35">
      <c r="P46" s="23">
        <v>5</v>
      </c>
      <c r="Q46" s="24" t="s">
        <v>18</v>
      </c>
      <c r="R46" s="892">
        <v>0</v>
      </c>
      <c r="S46" s="892">
        <f t="shared" si="6"/>
        <v>0</v>
      </c>
      <c r="U46" s="890"/>
    </row>
    <row r="47" spans="1:21" ht="12.9" x14ac:dyDescent="0.35">
      <c r="P47" s="25">
        <v>6</v>
      </c>
      <c r="Q47" s="26" t="s">
        <v>19</v>
      </c>
      <c r="R47" s="892">
        <v>0</v>
      </c>
      <c r="S47" s="892">
        <f t="shared" si="6"/>
        <v>0</v>
      </c>
      <c r="U47" s="890"/>
    </row>
    <row r="48" spans="1:21" ht="12.9" x14ac:dyDescent="0.35">
      <c r="P48" s="25">
        <v>7</v>
      </c>
      <c r="Q48" s="26" t="s">
        <v>20</v>
      </c>
      <c r="R48" s="892">
        <v>1017</v>
      </c>
      <c r="S48" s="892">
        <f t="shared" si="6"/>
        <v>220.03461704889659</v>
      </c>
      <c r="U48" s="890"/>
    </row>
    <row r="49" spans="16:21" ht="12.9" x14ac:dyDescent="0.35">
      <c r="P49" s="23">
        <v>8</v>
      </c>
      <c r="Q49" s="24" t="s">
        <v>21</v>
      </c>
      <c r="R49" s="892">
        <v>1408</v>
      </c>
      <c r="S49" s="892">
        <f t="shared" si="6"/>
        <v>304.63003028991778</v>
      </c>
      <c r="U49" s="890"/>
    </row>
    <row r="50" spans="16:21" ht="12.9" x14ac:dyDescent="0.35">
      <c r="P50" s="23">
        <v>9</v>
      </c>
      <c r="Q50" s="24" t="s">
        <v>22</v>
      </c>
      <c r="R50" s="892">
        <v>0</v>
      </c>
      <c r="S50" s="892">
        <f t="shared" si="6"/>
        <v>0</v>
      </c>
      <c r="U50" s="890"/>
    </row>
    <row r="51" spans="16:21" ht="12.9" x14ac:dyDescent="0.35">
      <c r="P51" s="23">
        <v>10</v>
      </c>
      <c r="Q51" s="24" t="s">
        <v>23</v>
      </c>
      <c r="R51" s="892">
        <v>0</v>
      </c>
      <c r="S51" s="892">
        <f t="shared" si="6"/>
        <v>0</v>
      </c>
      <c r="U51" s="890"/>
    </row>
    <row r="52" spans="16:21" ht="12.9" x14ac:dyDescent="0.35">
      <c r="P52" s="23">
        <v>11</v>
      </c>
      <c r="Q52" s="24" t="s">
        <v>24</v>
      </c>
      <c r="R52" s="892">
        <v>0</v>
      </c>
      <c r="S52" s="892">
        <f t="shared" si="6"/>
        <v>0</v>
      </c>
      <c r="U52" s="890"/>
    </row>
    <row r="53" spans="16:21" ht="12.9" x14ac:dyDescent="0.35">
      <c r="P53" s="23">
        <v>12</v>
      </c>
      <c r="Q53" s="24" t="s">
        <v>25</v>
      </c>
      <c r="R53" s="892">
        <v>0</v>
      </c>
      <c r="S53" s="892">
        <f t="shared" si="6"/>
        <v>0</v>
      </c>
      <c r="U53" s="890"/>
    </row>
    <row r="54" spans="16:21" ht="12.9" x14ac:dyDescent="0.35">
      <c r="P54" s="23">
        <v>13</v>
      </c>
      <c r="Q54" s="24" t="s">
        <v>26</v>
      </c>
      <c r="R54" s="892">
        <v>1537</v>
      </c>
      <c r="S54" s="892">
        <f t="shared" si="6"/>
        <v>332.54002596278667</v>
      </c>
      <c r="U54" s="890"/>
    </row>
    <row r="55" spans="16:21" ht="12.9" x14ac:dyDescent="0.35">
      <c r="P55" s="23">
        <v>14</v>
      </c>
      <c r="Q55" s="24" t="s">
        <v>27</v>
      </c>
      <c r="R55" s="892">
        <v>740</v>
      </c>
      <c r="S55" s="892">
        <f t="shared" si="6"/>
        <v>160.10385114668975</v>
      </c>
      <c r="U55" s="890"/>
    </row>
    <row r="56" spans="16:21" ht="13.3" thickBot="1" x14ac:dyDescent="0.4">
      <c r="P56" s="27">
        <v>15</v>
      </c>
      <c r="Q56" s="28" t="s">
        <v>28</v>
      </c>
      <c r="R56" s="893">
        <v>0</v>
      </c>
      <c r="S56" s="893">
        <f t="shared" si="6"/>
        <v>0</v>
      </c>
      <c r="U56" s="890"/>
    </row>
    <row r="57" spans="16:21" ht="12" thickBot="1" x14ac:dyDescent="0.35">
      <c r="P57" s="1142"/>
      <c r="Q57" s="1143" t="s">
        <v>462</v>
      </c>
      <c r="R57" s="1144">
        <f t="shared" ref="R57:S57" si="7">SUM(R42:R56)</f>
        <v>4702</v>
      </c>
      <c r="S57" s="1144">
        <f t="shared" si="7"/>
        <v>1017.3085244482908</v>
      </c>
    </row>
    <row r="58" spans="16:21" x14ac:dyDescent="0.3">
      <c r="P58" s="413"/>
      <c r="Q58" s="413"/>
      <c r="R58" s="413"/>
      <c r="S58" s="413"/>
    </row>
    <row r="59" spans="16:21" x14ac:dyDescent="0.3">
      <c r="P59" s="413"/>
      <c r="Q59" s="413"/>
      <c r="R59" s="413"/>
      <c r="S59" s="413"/>
    </row>
    <row r="60" spans="16:21" ht="12.9" x14ac:dyDescent="0.35">
      <c r="P60" s="413"/>
      <c r="Q60" s="413" t="s">
        <v>461</v>
      </c>
      <c r="R60" s="1146">
        <v>4622</v>
      </c>
      <c r="S60" s="413"/>
    </row>
    <row r="61" spans="16:21" x14ac:dyDescent="0.3">
      <c r="P61" s="413"/>
      <c r="Q61" s="413"/>
      <c r="R61" s="413"/>
      <c r="S61" s="413"/>
    </row>
    <row r="62" spans="16:21" x14ac:dyDescent="0.3">
      <c r="P62" s="413"/>
      <c r="Q62" s="413"/>
      <c r="R62" s="413"/>
      <c r="S62" s="413"/>
    </row>
  </sheetData>
  <mergeCells count="5">
    <mergeCell ref="C8:E8"/>
    <mergeCell ref="F8:H8"/>
    <mergeCell ref="I8:K8"/>
    <mergeCell ref="R8:S8"/>
    <mergeCell ref="R40:S4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rgb="FFFF0000"/>
  </sheetPr>
  <dimension ref="A1:R59"/>
  <sheetViews>
    <sheetView showGridLines="0" zoomScaleNormal="100" workbookViewId="0">
      <selection activeCell="I3" sqref="I3"/>
    </sheetView>
  </sheetViews>
  <sheetFormatPr baseColWidth="10" defaultColWidth="11.4609375" defaultRowHeight="14.15" x14ac:dyDescent="0.35"/>
  <cols>
    <col min="1" max="1" width="6.07421875" style="230" bestFit="1" customWidth="1"/>
    <col min="2" max="2" width="24.07421875" style="215" customWidth="1"/>
    <col min="3" max="3" width="12.3046875" style="215" customWidth="1"/>
    <col min="4" max="4" width="11.84375" style="215" customWidth="1"/>
    <col min="5" max="5" width="12.84375" style="215" customWidth="1"/>
    <col min="6" max="6" width="10.53515625" style="215" customWidth="1"/>
    <col min="7" max="7" width="10.53515625" style="368" customWidth="1"/>
    <col min="8" max="8" width="12.84375" style="215" customWidth="1"/>
    <col min="9" max="9" width="13.3046875" style="215" customWidth="1"/>
    <col min="10" max="10" width="9.07421875" style="215" bestFit="1" customWidth="1"/>
    <col min="11" max="13" width="11.4609375" style="215" customWidth="1"/>
    <col min="14" max="14" width="9.4609375" style="215" customWidth="1"/>
    <col min="15" max="15" width="9.4609375" style="368" customWidth="1"/>
    <col min="16" max="17" width="11.4609375" style="215" customWidth="1"/>
    <col min="18" max="18" width="9.07421875" style="215" bestFit="1" customWidth="1"/>
    <col min="19" max="19" width="11.4609375" style="215" customWidth="1"/>
    <col min="20" max="16384" width="11.4609375" style="215"/>
  </cols>
  <sheetData>
    <row r="1" spans="1:18" x14ac:dyDescent="0.35">
      <c r="A1" s="235" t="s">
        <v>135</v>
      </c>
      <c r="B1" s="236"/>
    </row>
    <row r="2" spans="1:18" x14ac:dyDescent="0.35">
      <c r="A2" s="216" t="s">
        <v>0</v>
      </c>
    </row>
    <row r="3" spans="1:18" x14ac:dyDescent="0.35">
      <c r="A3" s="216"/>
    </row>
    <row r="4" spans="1:18" x14ac:dyDescent="0.35">
      <c r="A4" s="216" t="str">
        <f>A7</f>
        <v>Tabell 3-2-D  - Søknader og avslag på sykehjemsplass</v>
      </c>
    </row>
    <row r="5" spans="1:18" x14ac:dyDescent="0.35">
      <c r="A5" s="217" t="str">
        <f>A36</f>
        <v>Tabell 3-2-D-1  - Søknader og avslag om plass etter sambogarantien</v>
      </c>
    </row>
    <row r="7" spans="1:18" s="217" customFormat="1" ht="30" customHeight="1" thickBot="1" x14ac:dyDescent="0.35">
      <c r="A7" s="185" t="s">
        <v>361</v>
      </c>
    </row>
    <row r="8" spans="1:18" s="219" customFormat="1" ht="28.5" customHeight="1" thickBot="1" x14ac:dyDescent="0.4">
      <c r="A8" s="237"/>
      <c r="B8" s="238"/>
      <c r="C8" s="1653" t="s">
        <v>37</v>
      </c>
      <c r="D8" s="1653"/>
      <c r="E8" s="1653"/>
      <c r="F8" s="1653"/>
      <c r="G8" s="1653"/>
      <c r="H8" s="1653"/>
      <c r="I8" s="1653"/>
      <c r="J8" s="1653"/>
      <c r="K8" s="1653" t="s">
        <v>147</v>
      </c>
      <c r="L8" s="1653"/>
      <c r="M8" s="1653"/>
      <c r="N8" s="1653"/>
      <c r="O8" s="1653"/>
      <c r="P8" s="1653"/>
      <c r="Q8" s="1653"/>
      <c r="R8" s="1653"/>
    </row>
    <row r="9" spans="1:18" s="219" customFormat="1" ht="134.25" customHeight="1" thickBot="1" x14ac:dyDescent="0.4">
      <c r="A9" s="239" t="s">
        <v>2</v>
      </c>
      <c r="B9" s="220" t="s">
        <v>3</v>
      </c>
      <c r="C9" s="239" t="s">
        <v>288</v>
      </c>
      <c r="D9" s="266" t="s">
        <v>289</v>
      </c>
      <c r="E9" s="266" t="s">
        <v>290</v>
      </c>
      <c r="F9" s="266" t="s">
        <v>151</v>
      </c>
      <c r="G9" s="266" t="s">
        <v>302</v>
      </c>
      <c r="H9" s="266" t="s">
        <v>291</v>
      </c>
      <c r="I9" s="266" t="s">
        <v>153</v>
      </c>
      <c r="J9" s="242" t="s">
        <v>154</v>
      </c>
      <c r="K9" s="240" t="s">
        <v>148</v>
      </c>
      <c r="L9" s="241" t="s">
        <v>149</v>
      </c>
      <c r="M9" s="241" t="s">
        <v>150</v>
      </c>
      <c r="N9" s="241" t="s">
        <v>151</v>
      </c>
      <c r="O9" s="241" t="s">
        <v>302</v>
      </c>
      <c r="P9" s="241" t="s">
        <v>152</v>
      </c>
      <c r="Q9" s="241" t="s">
        <v>153</v>
      </c>
      <c r="R9" s="242" t="s">
        <v>154</v>
      </c>
    </row>
    <row r="10" spans="1:18" ht="12.9" customHeight="1" x14ac:dyDescent="0.35">
      <c r="A10" s="243">
        <v>1</v>
      </c>
      <c r="B10" s="222" t="s">
        <v>14</v>
      </c>
      <c r="C10" s="1166">
        <v>4</v>
      </c>
      <c r="D10" s="1167">
        <v>84</v>
      </c>
      <c r="E10" s="1167">
        <v>65</v>
      </c>
      <c r="F10" s="1167">
        <v>1</v>
      </c>
      <c r="G10" s="1167">
        <v>10</v>
      </c>
      <c r="H10" s="1167">
        <v>8</v>
      </c>
      <c r="I10" s="1168">
        <v>4</v>
      </c>
      <c r="J10" s="244">
        <f t="shared" ref="J10:J24" si="0">E10/(E10+H10)</f>
        <v>0.8904109589041096</v>
      </c>
      <c r="K10" s="1166">
        <v>7</v>
      </c>
      <c r="L10" s="1167">
        <v>370</v>
      </c>
      <c r="M10" s="1167">
        <v>356</v>
      </c>
      <c r="N10" s="1167">
        <v>3</v>
      </c>
      <c r="O10" s="1167">
        <v>13</v>
      </c>
      <c r="P10" s="1167">
        <v>2</v>
      </c>
      <c r="Q10" s="1168">
        <v>3</v>
      </c>
      <c r="R10" s="244">
        <f t="shared" ref="R10:R24" si="1">M10/(M10+P10)</f>
        <v>0.994413407821229</v>
      </c>
    </row>
    <row r="11" spans="1:18" x14ac:dyDescent="0.35">
      <c r="A11" s="245">
        <v>2</v>
      </c>
      <c r="B11" s="224" t="s">
        <v>15</v>
      </c>
      <c r="C11" s="1169">
        <v>3</v>
      </c>
      <c r="D11" s="260">
        <v>65</v>
      </c>
      <c r="E11" s="260">
        <v>51</v>
      </c>
      <c r="F11" s="260">
        <v>3</v>
      </c>
      <c r="G11" s="260">
        <v>4</v>
      </c>
      <c r="H11" s="260">
        <v>5</v>
      </c>
      <c r="I11" s="1170">
        <v>5</v>
      </c>
      <c r="J11" s="246">
        <f t="shared" si="0"/>
        <v>0.9107142857142857</v>
      </c>
      <c r="K11" s="1169">
        <v>3</v>
      </c>
      <c r="L11" s="260">
        <v>374</v>
      </c>
      <c r="M11" s="260">
        <v>367</v>
      </c>
      <c r="N11" s="260">
        <v>3</v>
      </c>
      <c r="O11" s="260">
        <v>5</v>
      </c>
      <c r="P11" s="260">
        <v>0</v>
      </c>
      <c r="Q11" s="1170">
        <v>2</v>
      </c>
      <c r="R11" s="246">
        <f t="shared" si="1"/>
        <v>1</v>
      </c>
    </row>
    <row r="12" spans="1:18" x14ac:dyDescent="0.35">
      <c r="A12" s="245">
        <v>3</v>
      </c>
      <c r="B12" s="224" t="s">
        <v>16</v>
      </c>
      <c r="C12" s="1169">
        <v>4</v>
      </c>
      <c r="D12" s="260">
        <v>66</v>
      </c>
      <c r="E12" s="260">
        <v>48</v>
      </c>
      <c r="F12" s="260">
        <v>5</v>
      </c>
      <c r="G12" s="260">
        <v>4</v>
      </c>
      <c r="H12" s="260">
        <v>10</v>
      </c>
      <c r="I12" s="1170">
        <v>3</v>
      </c>
      <c r="J12" s="246">
        <f t="shared" si="0"/>
        <v>0.82758620689655171</v>
      </c>
      <c r="K12" s="1169">
        <v>1</v>
      </c>
      <c r="L12" s="260">
        <v>367</v>
      </c>
      <c r="M12" s="260">
        <v>356</v>
      </c>
      <c r="N12" s="260">
        <v>1</v>
      </c>
      <c r="O12" s="260">
        <v>3</v>
      </c>
      <c r="P12" s="260">
        <v>3</v>
      </c>
      <c r="Q12" s="1170">
        <v>5</v>
      </c>
      <c r="R12" s="246">
        <f t="shared" si="1"/>
        <v>0.99164345403899723</v>
      </c>
    </row>
    <row r="13" spans="1:18" x14ac:dyDescent="0.35">
      <c r="A13" s="245">
        <v>4</v>
      </c>
      <c r="B13" s="224" t="s">
        <v>17</v>
      </c>
      <c r="C13" s="1169">
        <v>0</v>
      </c>
      <c r="D13" s="260">
        <v>75</v>
      </c>
      <c r="E13" s="260">
        <v>49</v>
      </c>
      <c r="F13" s="260">
        <v>5</v>
      </c>
      <c r="G13" s="260">
        <v>3</v>
      </c>
      <c r="H13" s="260">
        <v>12</v>
      </c>
      <c r="I13" s="1170">
        <v>6</v>
      </c>
      <c r="J13" s="246">
        <f t="shared" si="0"/>
        <v>0.80327868852459017</v>
      </c>
      <c r="K13" s="1169">
        <v>1</v>
      </c>
      <c r="L13" s="260">
        <v>185</v>
      </c>
      <c r="M13" s="260">
        <v>180</v>
      </c>
      <c r="N13" s="260">
        <v>1</v>
      </c>
      <c r="O13" s="260">
        <v>5</v>
      </c>
      <c r="P13" s="260">
        <v>0</v>
      </c>
      <c r="Q13" s="1170">
        <v>0</v>
      </c>
      <c r="R13" s="246">
        <f t="shared" si="1"/>
        <v>1</v>
      </c>
    </row>
    <row r="14" spans="1:18" x14ac:dyDescent="0.35">
      <c r="A14" s="245">
        <v>5</v>
      </c>
      <c r="B14" s="224" t="s">
        <v>18</v>
      </c>
      <c r="C14" s="1169">
        <v>17</v>
      </c>
      <c r="D14" s="260">
        <v>170</v>
      </c>
      <c r="E14" s="260">
        <v>149</v>
      </c>
      <c r="F14" s="260">
        <v>12</v>
      </c>
      <c r="G14" s="260">
        <v>15</v>
      </c>
      <c r="H14" s="260">
        <v>4</v>
      </c>
      <c r="I14" s="1170">
        <v>7</v>
      </c>
      <c r="J14" s="246">
        <f t="shared" si="0"/>
        <v>0.97385620915032678</v>
      </c>
      <c r="K14" s="1169">
        <v>8</v>
      </c>
      <c r="L14" s="260">
        <v>568</v>
      </c>
      <c r="M14" s="260">
        <v>538</v>
      </c>
      <c r="N14" s="260">
        <v>7</v>
      </c>
      <c r="O14" s="260">
        <v>18</v>
      </c>
      <c r="P14" s="260">
        <v>6</v>
      </c>
      <c r="Q14" s="1170">
        <v>7</v>
      </c>
      <c r="R14" s="246">
        <f t="shared" si="1"/>
        <v>0.98897058823529416</v>
      </c>
    </row>
    <row r="15" spans="1:18" x14ac:dyDescent="0.35">
      <c r="A15" s="247">
        <v>6</v>
      </c>
      <c r="B15" s="226" t="s">
        <v>19</v>
      </c>
      <c r="C15" s="1169">
        <v>3</v>
      </c>
      <c r="D15" s="260">
        <v>129</v>
      </c>
      <c r="E15" s="260">
        <v>111</v>
      </c>
      <c r="F15" s="260">
        <v>9</v>
      </c>
      <c r="G15" s="260">
        <v>2</v>
      </c>
      <c r="H15" s="260">
        <v>7</v>
      </c>
      <c r="I15" s="1170">
        <v>3</v>
      </c>
      <c r="J15" s="246">
        <f t="shared" si="0"/>
        <v>0.94067796610169496</v>
      </c>
      <c r="K15" s="1169">
        <v>3</v>
      </c>
      <c r="L15" s="260">
        <v>567</v>
      </c>
      <c r="M15" s="260">
        <v>530</v>
      </c>
      <c r="N15" s="260">
        <v>5</v>
      </c>
      <c r="O15" s="260">
        <v>14</v>
      </c>
      <c r="P15" s="260">
        <v>13</v>
      </c>
      <c r="Q15" s="1170">
        <v>8</v>
      </c>
      <c r="R15" s="246">
        <f t="shared" si="1"/>
        <v>0.97605893186003678</v>
      </c>
    </row>
    <row r="16" spans="1:18" x14ac:dyDescent="0.35">
      <c r="A16" s="247">
        <v>7</v>
      </c>
      <c r="B16" s="226" t="s">
        <v>20</v>
      </c>
      <c r="C16" s="1169">
        <v>10</v>
      </c>
      <c r="D16" s="260">
        <v>157</v>
      </c>
      <c r="E16" s="260">
        <v>139</v>
      </c>
      <c r="F16" s="260">
        <v>1</v>
      </c>
      <c r="G16" s="260">
        <v>3</v>
      </c>
      <c r="H16" s="260">
        <v>22</v>
      </c>
      <c r="I16" s="1170">
        <v>2</v>
      </c>
      <c r="J16" s="246">
        <f t="shared" si="0"/>
        <v>0.86335403726708071</v>
      </c>
      <c r="K16" s="1169">
        <v>9</v>
      </c>
      <c r="L16" s="260">
        <v>372</v>
      </c>
      <c r="M16" s="260">
        <v>352</v>
      </c>
      <c r="N16" s="260">
        <v>5</v>
      </c>
      <c r="O16" s="260">
        <v>15</v>
      </c>
      <c r="P16" s="260">
        <v>24</v>
      </c>
      <c r="Q16" s="1170">
        <v>-15</v>
      </c>
      <c r="R16" s="246">
        <f t="shared" si="1"/>
        <v>0.93617021276595747</v>
      </c>
    </row>
    <row r="17" spans="1:18" x14ac:dyDescent="0.35">
      <c r="A17" s="245">
        <v>8</v>
      </c>
      <c r="B17" s="224" t="s">
        <v>21</v>
      </c>
      <c r="C17" s="1169">
        <v>7</v>
      </c>
      <c r="D17" s="260">
        <v>135</v>
      </c>
      <c r="E17" s="260">
        <v>112</v>
      </c>
      <c r="F17" s="260">
        <v>8</v>
      </c>
      <c r="G17" s="260">
        <v>1</v>
      </c>
      <c r="H17" s="260">
        <v>16</v>
      </c>
      <c r="I17" s="1170">
        <v>5</v>
      </c>
      <c r="J17" s="246">
        <f t="shared" si="0"/>
        <v>0.875</v>
      </c>
      <c r="K17" s="1169">
        <v>2</v>
      </c>
      <c r="L17" s="260">
        <v>507</v>
      </c>
      <c r="M17" s="260">
        <v>504</v>
      </c>
      <c r="N17" s="260">
        <v>0</v>
      </c>
      <c r="O17" s="260">
        <v>3</v>
      </c>
      <c r="P17" s="260">
        <v>0</v>
      </c>
      <c r="Q17" s="1170">
        <v>2</v>
      </c>
      <c r="R17" s="246">
        <f t="shared" si="1"/>
        <v>1</v>
      </c>
    </row>
    <row r="18" spans="1:18" x14ac:dyDescent="0.35">
      <c r="A18" s="245">
        <v>9</v>
      </c>
      <c r="B18" s="224" t="s">
        <v>22</v>
      </c>
      <c r="C18" s="1169">
        <v>11</v>
      </c>
      <c r="D18" s="260">
        <v>90</v>
      </c>
      <c r="E18" s="260">
        <v>48</v>
      </c>
      <c r="F18" s="260">
        <v>3</v>
      </c>
      <c r="G18" s="260">
        <v>15</v>
      </c>
      <c r="H18" s="260">
        <v>17</v>
      </c>
      <c r="I18" s="1170">
        <v>18</v>
      </c>
      <c r="J18" s="246">
        <f t="shared" si="0"/>
        <v>0.7384615384615385</v>
      </c>
      <c r="K18" s="1169">
        <v>8</v>
      </c>
      <c r="L18" s="260">
        <v>447</v>
      </c>
      <c r="M18" s="260">
        <v>418</v>
      </c>
      <c r="N18" s="260">
        <v>5</v>
      </c>
      <c r="O18" s="260">
        <v>8</v>
      </c>
      <c r="P18" s="260">
        <v>14</v>
      </c>
      <c r="Q18" s="1170">
        <v>10</v>
      </c>
      <c r="R18" s="246">
        <f t="shared" si="1"/>
        <v>0.96759259259259256</v>
      </c>
    </row>
    <row r="19" spans="1:18" x14ac:dyDescent="0.35">
      <c r="A19" s="245">
        <v>10</v>
      </c>
      <c r="B19" s="224" t="s">
        <v>23</v>
      </c>
      <c r="C19" s="1169">
        <v>8</v>
      </c>
      <c r="D19" s="260">
        <v>75</v>
      </c>
      <c r="E19" s="260">
        <v>58</v>
      </c>
      <c r="F19" s="260">
        <v>5</v>
      </c>
      <c r="G19" s="260">
        <v>4</v>
      </c>
      <c r="H19" s="260">
        <v>9</v>
      </c>
      <c r="I19" s="1170">
        <v>7</v>
      </c>
      <c r="J19" s="246">
        <f t="shared" si="0"/>
        <v>0.86567164179104472</v>
      </c>
      <c r="K19" s="1169">
        <v>16</v>
      </c>
      <c r="L19" s="260">
        <v>414</v>
      </c>
      <c r="M19" s="260">
        <v>406</v>
      </c>
      <c r="N19" s="260">
        <v>5</v>
      </c>
      <c r="O19" s="260">
        <v>9</v>
      </c>
      <c r="P19" s="260">
        <v>5</v>
      </c>
      <c r="Q19" s="1170">
        <v>5</v>
      </c>
      <c r="R19" s="246">
        <f t="shared" si="1"/>
        <v>0.98783454987834551</v>
      </c>
    </row>
    <row r="20" spans="1:18" x14ac:dyDescent="0.35">
      <c r="A20" s="247">
        <v>11</v>
      </c>
      <c r="B20" s="226" t="s">
        <v>24</v>
      </c>
      <c r="C20" s="1169">
        <v>7</v>
      </c>
      <c r="D20" s="260">
        <v>79</v>
      </c>
      <c r="E20" s="260">
        <v>63</v>
      </c>
      <c r="F20" s="260">
        <v>6</v>
      </c>
      <c r="G20" s="260">
        <v>6</v>
      </c>
      <c r="H20" s="260">
        <v>11</v>
      </c>
      <c r="I20" s="1170">
        <v>0</v>
      </c>
      <c r="J20" s="246">
        <f t="shared" si="0"/>
        <v>0.85135135135135132</v>
      </c>
      <c r="K20" s="1169">
        <v>1</v>
      </c>
      <c r="L20" s="260">
        <v>343</v>
      </c>
      <c r="M20" s="260">
        <v>336</v>
      </c>
      <c r="N20" s="260">
        <v>1</v>
      </c>
      <c r="O20" s="260">
        <v>1</v>
      </c>
      <c r="P20" s="260">
        <v>3</v>
      </c>
      <c r="Q20" s="1170">
        <v>3</v>
      </c>
      <c r="R20" s="246">
        <f t="shared" si="1"/>
        <v>0.99115044247787609</v>
      </c>
    </row>
    <row r="21" spans="1:18" x14ac:dyDescent="0.35">
      <c r="A21" s="245">
        <v>12</v>
      </c>
      <c r="B21" s="224" t="s">
        <v>25</v>
      </c>
      <c r="C21" s="1169">
        <v>8</v>
      </c>
      <c r="D21" s="260">
        <v>107</v>
      </c>
      <c r="E21" s="260">
        <v>83</v>
      </c>
      <c r="F21" s="260">
        <v>10</v>
      </c>
      <c r="G21" s="260">
        <v>5</v>
      </c>
      <c r="H21" s="260">
        <v>14</v>
      </c>
      <c r="I21" s="1170">
        <v>3</v>
      </c>
      <c r="J21" s="246">
        <f t="shared" si="0"/>
        <v>0.85567010309278346</v>
      </c>
      <c r="K21" s="1169">
        <v>0</v>
      </c>
      <c r="L21" s="260">
        <v>365</v>
      </c>
      <c r="M21" s="260">
        <v>354</v>
      </c>
      <c r="N21" s="260">
        <v>5</v>
      </c>
      <c r="O21" s="260">
        <v>3</v>
      </c>
      <c r="P21" s="260">
        <v>2</v>
      </c>
      <c r="Q21" s="1170">
        <v>1</v>
      </c>
      <c r="R21" s="246">
        <f t="shared" si="1"/>
        <v>0.9943820224719101</v>
      </c>
    </row>
    <row r="22" spans="1:18" x14ac:dyDescent="0.35">
      <c r="A22" s="245">
        <v>13</v>
      </c>
      <c r="B22" s="224" t="s">
        <v>26</v>
      </c>
      <c r="C22" s="1169">
        <v>16</v>
      </c>
      <c r="D22" s="260">
        <v>258</v>
      </c>
      <c r="E22" s="260">
        <v>196</v>
      </c>
      <c r="F22" s="260">
        <v>31</v>
      </c>
      <c r="G22" s="260">
        <v>14</v>
      </c>
      <c r="H22" s="260">
        <v>14</v>
      </c>
      <c r="I22" s="1170">
        <v>19</v>
      </c>
      <c r="J22" s="246">
        <f t="shared" si="0"/>
        <v>0.93333333333333335</v>
      </c>
      <c r="K22" s="1169">
        <v>14</v>
      </c>
      <c r="L22" s="260">
        <v>945</v>
      </c>
      <c r="M22" s="260">
        <v>908</v>
      </c>
      <c r="N22" s="260">
        <v>8</v>
      </c>
      <c r="O22" s="260">
        <v>25</v>
      </c>
      <c r="P22" s="260">
        <v>8</v>
      </c>
      <c r="Q22" s="1170">
        <v>10</v>
      </c>
      <c r="R22" s="246">
        <f t="shared" si="1"/>
        <v>0.99126637554585151</v>
      </c>
    </row>
    <row r="23" spans="1:18" ht="12.9" customHeight="1" x14ac:dyDescent="0.35">
      <c r="A23" s="245">
        <v>14</v>
      </c>
      <c r="B23" s="224" t="s">
        <v>27</v>
      </c>
      <c r="C23" s="1169">
        <v>21</v>
      </c>
      <c r="D23" s="260">
        <v>212</v>
      </c>
      <c r="E23" s="260">
        <v>179</v>
      </c>
      <c r="F23" s="260">
        <v>14</v>
      </c>
      <c r="G23" s="260">
        <v>15</v>
      </c>
      <c r="H23" s="260">
        <v>6</v>
      </c>
      <c r="I23" s="1170">
        <v>19</v>
      </c>
      <c r="J23" s="246">
        <f t="shared" si="0"/>
        <v>0.96756756756756757</v>
      </c>
      <c r="K23" s="1169">
        <v>4</v>
      </c>
      <c r="L23" s="260">
        <v>694</v>
      </c>
      <c r="M23" s="260">
        <v>667</v>
      </c>
      <c r="N23" s="260">
        <v>6</v>
      </c>
      <c r="O23" s="260">
        <v>6</v>
      </c>
      <c r="P23" s="260">
        <v>5</v>
      </c>
      <c r="Q23" s="1170">
        <v>14</v>
      </c>
      <c r="R23" s="246">
        <f t="shared" si="1"/>
        <v>0.99255952380952384</v>
      </c>
    </row>
    <row r="24" spans="1:18" ht="12.9" customHeight="1" thickBot="1" x14ac:dyDescent="0.4">
      <c r="A24" s="248">
        <v>15</v>
      </c>
      <c r="B24" s="227" t="s">
        <v>28</v>
      </c>
      <c r="C24" s="1171">
        <v>3</v>
      </c>
      <c r="D24" s="737">
        <v>48</v>
      </c>
      <c r="E24" s="737">
        <v>38</v>
      </c>
      <c r="F24" s="737">
        <v>1</v>
      </c>
      <c r="G24" s="737">
        <v>4</v>
      </c>
      <c r="H24" s="737">
        <v>7</v>
      </c>
      <c r="I24" s="1172">
        <v>1</v>
      </c>
      <c r="J24" s="249">
        <f t="shared" si="0"/>
        <v>0.84444444444444444</v>
      </c>
      <c r="K24" s="1171">
        <v>0</v>
      </c>
      <c r="L24" s="737">
        <v>290</v>
      </c>
      <c r="M24" s="737">
        <v>279</v>
      </c>
      <c r="N24" s="737">
        <v>0</v>
      </c>
      <c r="O24" s="737">
        <v>0</v>
      </c>
      <c r="P24" s="737">
        <v>9</v>
      </c>
      <c r="Q24" s="1172">
        <v>2</v>
      </c>
      <c r="R24" s="249">
        <f t="shared" si="1"/>
        <v>0.96875</v>
      </c>
    </row>
    <row r="25" spans="1:18" s="254" customFormat="1" x14ac:dyDescent="0.35">
      <c r="A25" s="250"/>
      <c r="B25" s="251" t="s">
        <v>541</v>
      </c>
      <c r="C25" s="252">
        <f>SUM(C10:C24)</f>
        <v>122</v>
      </c>
      <c r="D25" s="252">
        <f>SUM(D10:D24)</f>
        <v>1750</v>
      </c>
      <c r="E25" s="252">
        <f>SUM(E10:E24)</f>
        <v>1389</v>
      </c>
      <c r="F25" s="252">
        <f t="shared" ref="F25:I25" si="2">SUM(F10:F24)</f>
        <v>114</v>
      </c>
      <c r="G25" s="252">
        <f t="shared" si="2"/>
        <v>105</v>
      </c>
      <c r="H25" s="252">
        <f t="shared" si="2"/>
        <v>162</v>
      </c>
      <c r="I25" s="252">
        <f t="shared" si="2"/>
        <v>102</v>
      </c>
      <c r="J25" s="253">
        <f t="shared" ref="J25" si="3">E25/(E25+H25)</f>
        <v>0.89555125725338491</v>
      </c>
      <c r="K25" s="1111">
        <f>SUM(K10:K24)</f>
        <v>77</v>
      </c>
      <c r="L25" s="252">
        <f>SUM(L10:L24)</f>
        <v>6808</v>
      </c>
      <c r="M25" s="252">
        <f>SUM(M10:M24)</f>
        <v>6551</v>
      </c>
      <c r="N25" s="252">
        <f t="shared" ref="N25:Q25" si="4">SUM(N10:N24)</f>
        <v>55</v>
      </c>
      <c r="O25" s="252">
        <f t="shared" si="4"/>
        <v>128</v>
      </c>
      <c r="P25" s="252">
        <f t="shared" si="4"/>
        <v>94</v>
      </c>
      <c r="Q25" s="252">
        <f t="shared" si="4"/>
        <v>57</v>
      </c>
      <c r="R25" s="253">
        <f t="shared" ref="R25" si="5">M25/(M25+P25)</f>
        <v>0.98585402558314528</v>
      </c>
    </row>
    <row r="26" spans="1:18" s="368" customFormat="1" x14ac:dyDescent="0.35">
      <c r="A26" s="419"/>
      <c r="B26" s="259" t="s">
        <v>463</v>
      </c>
      <c r="C26" s="260">
        <v>133</v>
      </c>
      <c r="D26" s="260">
        <v>1769</v>
      </c>
      <c r="E26" s="260">
        <v>1375</v>
      </c>
      <c r="F26" s="260">
        <v>94</v>
      </c>
      <c r="G26" s="260">
        <v>157</v>
      </c>
      <c r="H26" s="260">
        <v>167</v>
      </c>
      <c r="I26" s="260">
        <v>109</v>
      </c>
      <c r="J26" s="262">
        <v>0.8916990920881972</v>
      </c>
      <c r="K26" s="1112">
        <v>77</v>
      </c>
      <c r="L26" s="260">
        <v>6808</v>
      </c>
      <c r="M26" s="260">
        <v>6551</v>
      </c>
      <c r="N26" s="260">
        <v>55</v>
      </c>
      <c r="O26" s="260">
        <v>128</v>
      </c>
      <c r="P26" s="260">
        <v>94</v>
      </c>
      <c r="Q26" s="260">
        <v>57</v>
      </c>
      <c r="R26" s="262">
        <v>0.98585402558314528</v>
      </c>
    </row>
    <row r="27" spans="1:18" s="368" customFormat="1" x14ac:dyDescent="0.35">
      <c r="A27" s="419"/>
      <c r="B27" s="259" t="s">
        <v>415</v>
      </c>
      <c r="C27" s="260">
        <v>119</v>
      </c>
      <c r="D27" s="260">
        <v>1744</v>
      </c>
      <c r="E27" s="260">
        <v>1368</v>
      </c>
      <c r="F27" s="260">
        <v>102</v>
      </c>
      <c r="G27" s="260">
        <v>137</v>
      </c>
      <c r="H27" s="260">
        <v>142</v>
      </c>
      <c r="I27" s="260">
        <v>114</v>
      </c>
      <c r="J27" s="262">
        <v>0.90596026490066228</v>
      </c>
      <c r="K27" s="1112">
        <v>88</v>
      </c>
      <c r="L27" s="260">
        <v>6569</v>
      </c>
      <c r="M27" s="260">
        <v>6285</v>
      </c>
      <c r="N27" s="260">
        <v>46</v>
      </c>
      <c r="O27" s="260">
        <v>123</v>
      </c>
      <c r="P27" s="260">
        <v>141</v>
      </c>
      <c r="Q27" s="260">
        <v>62</v>
      </c>
      <c r="R27" s="262">
        <v>0.97805788982259567</v>
      </c>
    </row>
    <row r="28" spans="1:18" s="368" customFormat="1" x14ac:dyDescent="0.35">
      <c r="A28" s="419"/>
      <c r="B28" s="259" t="s">
        <v>367</v>
      </c>
      <c r="C28" s="260">
        <v>209</v>
      </c>
      <c r="D28" s="260">
        <v>1860</v>
      </c>
      <c r="E28" s="260">
        <v>1486</v>
      </c>
      <c r="F28" s="260">
        <v>118</v>
      </c>
      <c r="G28" s="260">
        <v>172</v>
      </c>
      <c r="H28" s="260">
        <v>167</v>
      </c>
      <c r="I28" s="260">
        <v>126</v>
      </c>
      <c r="J28" s="262">
        <v>0.89897156684815482</v>
      </c>
      <c r="K28" s="1112">
        <v>84</v>
      </c>
      <c r="L28" s="260">
        <v>6646</v>
      </c>
      <c r="M28" s="260">
        <v>6333</v>
      </c>
      <c r="N28" s="260">
        <v>71</v>
      </c>
      <c r="O28" s="260">
        <v>115</v>
      </c>
      <c r="P28" s="260">
        <v>133</v>
      </c>
      <c r="Q28" s="260">
        <v>78</v>
      </c>
      <c r="R28" s="262">
        <v>0.97943086916176925</v>
      </c>
    </row>
    <row r="29" spans="1:18" s="368" customFormat="1" ht="14.6" thickBot="1" x14ac:dyDescent="0.4">
      <c r="A29" s="738"/>
      <c r="B29" s="1060" t="s">
        <v>334</v>
      </c>
      <c r="C29" s="737">
        <v>198</v>
      </c>
      <c r="D29" s="737">
        <v>1930</v>
      </c>
      <c r="E29" s="737">
        <v>1422</v>
      </c>
      <c r="F29" s="737">
        <v>124</v>
      </c>
      <c r="G29" s="737">
        <v>165</v>
      </c>
      <c r="H29" s="737">
        <v>183</v>
      </c>
      <c r="I29" s="737">
        <v>234</v>
      </c>
      <c r="J29" s="1062">
        <v>0.88598130841121492</v>
      </c>
      <c r="K29" s="1113">
        <v>164</v>
      </c>
      <c r="L29" s="737">
        <v>6726</v>
      </c>
      <c r="M29" s="737">
        <v>6324</v>
      </c>
      <c r="N29" s="737">
        <v>99</v>
      </c>
      <c r="O29" s="737">
        <v>163</v>
      </c>
      <c r="P29" s="737">
        <v>163</v>
      </c>
      <c r="Q29" s="737">
        <v>141</v>
      </c>
      <c r="R29" s="1062">
        <v>0.97487282256821339</v>
      </c>
    </row>
    <row r="30" spans="1:18" s="368" customFormat="1" x14ac:dyDescent="0.35">
      <c r="A30" s="419"/>
      <c r="B30" s="259" t="s">
        <v>300</v>
      </c>
      <c r="C30" s="260">
        <v>164</v>
      </c>
      <c r="D30" s="260">
        <v>1966</v>
      </c>
      <c r="E30" s="260">
        <v>1467</v>
      </c>
      <c r="F30" s="260">
        <v>165</v>
      </c>
      <c r="G30" s="260">
        <v>205</v>
      </c>
      <c r="H30" s="260">
        <v>167</v>
      </c>
      <c r="I30" s="260">
        <v>322</v>
      </c>
      <c r="J30" s="261">
        <v>0.89779681762545904</v>
      </c>
      <c r="K30" s="260">
        <v>110</v>
      </c>
      <c r="L30" s="260">
        <v>6959</v>
      </c>
      <c r="M30" s="260">
        <v>6454</v>
      </c>
      <c r="N30" s="260">
        <v>174</v>
      </c>
      <c r="O30" s="260">
        <v>679</v>
      </c>
      <c r="P30" s="260">
        <v>209</v>
      </c>
      <c r="Q30" s="260">
        <v>223</v>
      </c>
      <c r="R30" s="262">
        <v>0.96863274801140631</v>
      </c>
    </row>
    <row r="31" spans="1:18" s="368" customFormat="1" ht="14.6" thickBot="1" x14ac:dyDescent="0.4">
      <c r="A31" s="738"/>
      <c r="B31" s="1060" t="s">
        <v>155</v>
      </c>
      <c r="C31" s="737">
        <v>174</v>
      </c>
      <c r="D31" s="737">
        <v>2062</v>
      </c>
      <c r="E31" s="737">
        <v>1631</v>
      </c>
      <c r="F31" s="737">
        <v>289</v>
      </c>
      <c r="G31" s="737" t="s">
        <v>126</v>
      </c>
      <c r="H31" s="737">
        <v>168</v>
      </c>
      <c r="I31" s="737">
        <v>148</v>
      </c>
      <c r="J31" s="1061">
        <v>0.9066147859922179</v>
      </c>
      <c r="K31" s="737">
        <v>121</v>
      </c>
      <c r="L31" s="737">
        <v>7906</v>
      </c>
      <c r="M31" s="737">
        <v>7436</v>
      </c>
      <c r="N31" s="737">
        <v>339</v>
      </c>
      <c r="O31" s="737" t="s">
        <v>126</v>
      </c>
      <c r="P31" s="737">
        <v>139</v>
      </c>
      <c r="Q31" s="737">
        <v>113</v>
      </c>
      <c r="R31" s="1062">
        <v>0.9816501650165016</v>
      </c>
    </row>
    <row r="32" spans="1:18" x14ac:dyDescent="0.35">
      <c r="A32" s="419"/>
      <c r="B32" s="259" t="s">
        <v>107</v>
      </c>
      <c r="C32" s="260">
        <v>69</v>
      </c>
      <c r="D32" s="260">
        <v>2182</v>
      </c>
      <c r="E32" s="260">
        <v>1698</v>
      </c>
      <c r="F32" s="260">
        <v>332</v>
      </c>
      <c r="G32" s="260" t="s">
        <v>126</v>
      </c>
      <c r="H32" s="260">
        <v>160</v>
      </c>
      <c r="I32" s="260">
        <v>61</v>
      </c>
      <c r="J32" s="261">
        <v>0.91388589881593107</v>
      </c>
      <c r="K32" s="260">
        <v>89</v>
      </c>
      <c r="L32" s="260">
        <v>8117</v>
      </c>
      <c r="M32" s="260">
        <v>7658</v>
      </c>
      <c r="N32" s="260">
        <v>358</v>
      </c>
      <c r="O32" s="260" t="s">
        <v>126</v>
      </c>
      <c r="P32" s="260">
        <v>159</v>
      </c>
      <c r="Q32" s="260">
        <v>31</v>
      </c>
      <c r="R32" s="262">
        <v>0.97965971600358193</v>
      </c>
    </row>
    <row r="33" spans="1:18" ht="14.6" thickBot="1" x14ac:dyDescent="0.4">
      <c r="A33" s="229"/>
      <c r="B33" s="255" t="s">
        <v>106</v>
      </c>
      <c r="C33" s="256">
        <v>118</v>
      </c>
      <c r="D33" s="256">
        <v>2108</v>
      </c>
      <c r="E33" s="256">
        <v>1565</v>
      </c>
      <c r="F33" s="256">
        <v>379</v>
      </c>
      <c r="G33" s="737" t="s">
        <v>126</v>
      </c>
      <c r="H33" s="256">
        <v>242</v>
      </c>
      <c r="I33" s="256">
        <v>40</v>
      </c>
      <c r="J33" s="257">
        <v>0.866076369673492</v>
      </c>
      <c r="K33" s="256">
        <v>106</v>
      </c>
      <c r="L33" s="256">
        <v>6992</v>
      </c>
      <c r="M33" s="256">
        <v>6299</v>
      </c>
      <c r="N33" s="256">
        <v>567</v>
      </c>
      <c r="O33" s="737" t="s">
        <v>126</v>
      </c>
      <c r="P33" s="256">
        <v>188</v>
      </c>
      <c r="Q33" s="256">
        <v>44</v>
      </c>
      <c r="R33" s="258">
        <v>0.97101896099892093</v>
      </c>
    </row>
    <row r="36" spans="1:18" ht="14.6" thickBot="1" x14ac:dyDescent="0.4">
      <c r="A36" s="185" t="s">
        <v>306</v>
      </c>
    </row>
    <row r="37" spans="1:18" ht="14.6" thickBot="1" x14ac:dyDescent="0.4">
      <c r="A37" s="1654" t="s">
        <v>147</v>
      </c>
      <c r="B37" s="1655"/>
      <c r="C37" s="1655"/>
      <c r="D37" s="1655"/>
      <c r="E37" s="1655"/>
      <c r="F37" s="1655"/>
      <c r="G37" s="1655"/>
      <c r="H37" s="1656"/>
      <c r="M37" s="215" t="s">
        <v>108</v>
      </c>
    </row>
    <row r="38" spans="1:18" s="219" customFormat="1" ht="107.25" customHeight="1" thickBot="1" x14ac:dyDescent="0.4">
      <c r="A38" s="395" t="s">
        <v>2</v>
      </c>
      <c r="B38" s="492" t="s">
        <v>3</v>
      </c>
      <c r="C38" s="493" t="s">
        <v>303</v>
      </c>
      <c r="D38" s="398" t="s">
        <v>304</v>
      </c>
      <c r="E38" s="398" t="s">
        <v>438</v>
      </c>
      <c r="F38" s="398" t="s">
        <v>151</v>
      </c>
      <c r="G38" s="398" t="s">
        <v>305</v>
      </c>
      <c r="H38" s="494" t="s">
        <v>153</v>
      </c>
      <c r="I38" s="368"/>
      <c r="J38" s="368"/>
      <c r="K38" s="368"/>
      <c r="L38" s="368"/>
      <c r="M38" s="368"/>
      <c r="N38" s="368"/>
      <c r="O38" s="368" t="s">
        <v>108</v>
      </c>
      <c r="P38" s="368"/>
      <c r="Q38" s="368"/>
      <c r="R38" s="368"/>
    </row>
    <row r="39" spans="1:18" x14ac:dyDescent="0.35">
      <c r="A39" s="221">
        <v>1</v>
      </c>
      <c r="B39" s="222" t="s">
        <v>14</v>
      </c>
      <c r="C39" s="1600">
        <v>0</v>
      </c>
      <c r="D39" s="1601">
        <v>0</v>
      </c>
      <c r="E39" s="1601">
        <v>0</v>
      </c>
      <c r="F39" s="1601">
        <v>0</v>
      </c>
      <c r="G39" s="1602">
        <v>0</v>
      </c>
      <c r="H39" s="1597">
        <v>0</v>
      </c>
      <c r="O39" s="219" t="s">
        <v>108</v>
      </c>
      <c r="P39" s="219"/>
      <c r="Q39" s="219"/>
      <c r="R39" s="219"/>
    </row>
    <row r="40" spans="1:18" x14ac:dyDescent="0.35">
      <c r="A40" s="223">
        <v>2</v>
      </c>
      <c r="B40" s="224" t="s">
        <v>15</v>
      </c>
      <c r="C40" s="1603">
        <v>0</v>
      </c>
      <c r="D40" s="1596">
        <v>0</v>
      </c>
      <c r="E40" s="1596">
        <v>0</v>
      </c>
      <c r="F40" s="1596">
        <v>0</v>
      </c>
      <c r="G40" s="1604">
        <v>0</v>
      </c>
      <c r="H40" s="1598">
        <v>0</v>
      </c>
    </row>
    <row r="41" spans="1:18" x14ac:dyDescent="0.35">
      <c r="A41" s="223">
        <v>3</v>
      </c>
      <c r="B41" s="224" t="s">
        <v>16</v>
      </c>
      <c r="C41" s="1603">
        <v>0</v>
      </c>
      <c r="D41" s="1596">
        <v>0</v>
      </c>
      <c r="E41" s="1596">
        <v>0</v>
      </c>
      <c r="F41" s="1596">
        <v>0</v>
      </c>
      <c r="G41" s="1604">
        <v>0</v>
      </c>
      <c r="H41" s="1598">
        <v>0</v>
      </c>
    </row>
    <row r="42" spans="1:18" x14ac:dyDescent="0.35">
      <c r="A42" s="223">
        <v>4</v>
      </c>
      <c r="B42" s="224" t="s">
        <v>17</v>
      </c>
      <c r="C42" s="1603">
        <v>0</v>
      </c>
      <c r="D42" s="1596">
        <v>0</v>
      </c>
      <c r="E42" s="1596">
        <v>0</v>
      </c>
      <c r="F42" s="1596">
        <v>0</v>
      </c>
      <c r="G42" s="1604">
        <v>0</v>
      </c>
      <c r="H42" s="1598">
        <v>0</v>
      </c>
    </row>
    <row r="43" spans="1:18" x14ac:dyDescent="0.35">
      <c r="A43" s="223">
        <v>5</v>
      </c>
      <c r="B43" s="224" t="s">
        <v>18</v>
      </c>
      <c r="C43" s="1603">
        <v>0</v>
      </c>
      <c r="D43" s="1596">
        <v>0</v>
      </c>
      <c r="E43" s="1596">
        <v>0</v>
      </c>
      <c r="F43" s="1596">
        <v>0</v>
      </c>
      <c r="G43" s="1604">
        <v>0</v>
      </c>
      <c r="H43" s="1598">
        <v>0</v>
      </c>
    </row>
    <row r="44" spans="1:18" x14ac:dyDescent="0.35">
      <c r="A44" s="225">
        <v>6</v>
      </c>
      <c r="B44" s="226" t="s">
        <v>19</v>
      </c>
      <c r="C44" s="1603">
        <v>0</v>
      </c>
      <c r="D44" s="1596">
        <v>0</v>
      </c>
      <c r="E44" s="1596">
        <v>0</v>
      </c>
      <c r="F44" s="1596">
        <v>0</v>
      </c>
      <c r="G44" s="1604">
        <v>0</v>
      </c>
      <c r="H44" s="1598">
        <v>0</v>
      </c>
    </row>
    <row r="45" spans="1:18" x14ac:dyDescent="0.35">
      <c r="A45" s="225">
        <v>7</v>
      </c>
      <c r="B45" s="226" t="s">
        <v>20</v>
      </c>
      <c r="C45" s="1603">
        <v>0</v>
      </c>
      <c r="D45" s="1596">
        <v>0</v>
      </c>
      <c r="E45" s="1596">
        <v>0</v>
      </c>
      <c r="F45" s="1596">
        <v>0</v>
      </c>
      <c r="G45" s="1604">
        <v>0</v>
      </c>
      <c r="H45" s="1598">
        <v>0</v>
      </c>
    </row>
    <row r="46" spans="1:18" x14ac:dyDescent="0.35">
      <c r="A46" s="223">
        <v>8</v>
      </c>
      <c r="B46" s="224" t="s">
        <v>21</v>
      </c>
      <c r="C46" s="1603">
        <v>0</v>
      </c>
      <c r="D46" s="1596">
        <v>0</v>
      </c>
      <c r="E46" s="1596">
        <v>0</v>
      </c>
      <c r="F46" s="1596">
        <v>0</v>
      </c>
      <c r="G46" s="1604">
        <v>0</v>
      </c>
      <c r="H46" s="1598">
        <v>0</v>
      </c>
      <c r="K46" s="1173"/>
    </row>
    <row r="47" spans="1:18" x14ac:dyDescent="0.35">
      <c r="A47" s="223">
        <v>9</v>
      </c>
      <c r="B47" s="224" t="s">
        <v>22</v>
      </c>
      <c r="C47" s="1603">
        <v>0</v>
      </c>
      <c r="D47" s="1596">
        <v>0</v>
      </c>
      <c r="E47" s="1596">
        <v>0</v>
      </c>
      <c r="F47" s="1596">
        <v>0</v>
      </c>
      <c r="G47" s="1604">
        <v>0</v>
      </c>
      <c r="H47" s="1598">
        <v>0</v>
      </c>
    </row>
    <row r="48" spans="1:18" x14ac:dyDescent="0.35">
      <c r="A48" s="223">
        <v>10</v>
      </c>
      <c r="B48" s="224" t="s">
        <v>23</v>
      </c>
      <c r="C48" s="1603">
        <v>0</v>
      </c>
      <c r="D48" s="1596">
        <v>0</v>
      </c>
      <c r="E48" s="1596">
        <v>0</v>
      </c>
      <c r="F48" s="1596">
        <v>0</v>
      </c>
      <c r="G48" s="1604">
        <v>0</v>
      </c>
      <c r="H48" s="1598">
        <v>0</v>
      </c>
    </row>
    <row r="49" spans="1:15" x14ac:dyDescent="0.35">
      <c r="A49" s="225">
        <v>11</v>
      </c>
      <c r="B49" s="226" t="s">
        <v>24</v>
      </c>
      <c r="C49" s="1603">
        <v>0</v>
      </c>
      <c r="D49" s="1596">
        <v>0</v>
      </c>
      <c r="E49" s="1596">
        <v>0</v>
      </c>
      <c r="F49" s="1596">
        <v>0</v>
      </c>
      <c r="G49" s="1604">
        <v>0</v>
      </c>
      <c r="H49" s="1598">
        <v>0</v>
      </c>
    </row>
    <row r="50" spans="1:15" x14ac:dyDescent="0.35">
      <c r="A50" s="223">
        <v>12</v>
      </c>
      <c r="B50" s="224" t="s">
        <v>25</v>
      </c>
      <c r="C50" s="1603">
        <v>0</v>
      </c>
      <c r="D50" s="1596">
        <v>0</v>
      </c>
      <c r="E50" s="1596">
        <v>0</v>
      </c>
      <c r="F50" s="1596">
        <v>0</v>
      </c>
      <c r="G50" s="1604">
        <v>0</v>
      </c>
      <c r="H50" s="1598">
        <v>0</v>
      </c>
    </row>
    <row r="51" spans="1:15" x14ac:dyDescent="0.35">
      <c r="A51" s="223">
        <v>13</v>
      </c>
      <c r="B51" s="224" t="s">
        <v>26</v>
      </c>
      <c r="C51" s="1603">
        <v>0</v>
      </c>
      <c r="D51" s="1596">
        <v>1</v>
      </c>
      <c r="E51" s="1596">
        <v>1</v>
      </c>
      <c r="F51" s="1596">
        <v>0</v>
      </c>
      <c r="G51" s="1604">
        <v>0</v>
      </c>
      <c r="H51" s="1598">
        <v>0</v>
      </c>
    </row>
    <row r="52" spans="1:15" x14ac:dyDescent="0.35">
      <c r="A52" s="223">
        <v>14</v>
      </c>
      <c r="B52" s="224" t="s">
        <v>27</v>
      </c>
      <c r="C52" s="1603">
        <v>0</v>
      </c>
      <c r="D52" s="1596">
        <v>0</v>
      </c>
      <c r="E52" s="1596">
        <v>0</v>
      </c>
      <c r="F52" s="1596">
        <v>0</v>
      </c>
      <c r="G52" s="1604">
        <v>0</v>
      </c>
      <c r="H52" s="1598">
        <v>0</v>
      </c>
    </row>
    <row r="53" spans="1:15" ht="18" customHeight="1" thickBot="1" x14ac:dyDescent="0.4">
      <c r="A53" s="495">
        <v>15</v>
      </c>
      <c r="B53" s="227" t="s">
        <v>28</v>
      </c>
      <c r="C53" s="1605">
        <v>0</v>
      </c>
      <c r="D53" s="1606">
        <v>0</v>
      </c>
      <c r="E53" s="1606">
        <v>0</v>
      </c>
      <c r="F53" s="1606">
        <v>0</v>
      </c>
      <c r="G53" s="1607">
        <v>0</v>
      </c>
      <c r="H53" s="1599">
        <v>0</v>
      </c>
      <c r="O53" s="215"/>
    </row>
    <row r="54" spans="1:15" x14ac:dyDescent="0.35">
      <c r="A54" s="250"/>
      <c r="B54" s="498" t="s">
        <v>541</v>
      </c>
      <c r="C54" s="1163">
        <f>SUM(C39:C53)</f>
        <v>0</v>
      </c>
      <c r="D54" s="1164">
        <f t="shared" ref="D54:H54" si="6">SUM(D39:D53)</f>
        <v>1</v>
      </c>
      <c r="E54" s="1164">
        <f t="shared" si="6"/>
        <v>1</v>
      </c>
      <c r="F54" s="1164">
        <f t="shared" si="6"/>
        <v>0</v>
      </c>
      <c r="G54" s="1164">
        <f t="shared" si="6"/>
        <v>0</v>
      </c>
      <c r="H54" s="1165">
        <f t="shared" si="6"/>
        <v>0</v>
      </c>
      <c r="O54" s="215"/>
    </row>
    <row r="55" spans="1:15" s="368" customFormat="1" x14ac:dyDescent="0.35">
      <c r="A55" s="419"/>
      <c r="B55" s="499" t="s">
        <v>463</v>
      </c>
      <c r="C55" s="1095">
        <v>0</v>
      </c>
      <c r="D55" s="1096">
        <v>5</v>
      </c>
      <c r="E55" s="1096">
        <v>5</v>
      </c>
      <c r="F55" s="1096">
        <v>0</v>
      </c>
      <c r="G55" s="1096">
        <v>0</v>
      </c>
      <c r="H55" s="1097">
        <v>1</v>
      </c>
    </row>
    <row r="56" spans="1:15" s="368" customFormat="1" x14ac:dyDescent="0.35">
      <c r="A56" s="419"/>
      <c r="B56" s="499" t="s">
        <v>415</v>
      </c>
      <c r="C56" s="1095">
        <v>0</v>
      </c>
      <c r="D56" s="1096">
        <v>6</v>
      </c>
      <c r="E56" s="1096">
        <v>5</v>
      </c>
      <c r="F56" s="1096">
        <v>0</v>
      </c>
      <c r="G56" s="1096">
        <v>0</v>
      </c>
      <c r="H56" s="1097">
        <v>1</v>
      </c>
    </row>
    <row r="57" spans="1:15" s="368" customFormat="1" x14ac:dyDescent="0.35">
      <c r="A57" s="419"/>
      <c r="B57" s="499" t="s">
        <v>367</v>
      </c>
      <c r="C57" s="1095">
        <v>0</v>
      </c>
      <c r="D57" s="1096">
        <v>2</v>
      </c>
      <c r="E57" s="1096">
        <v>2</v>
      </c>
      <c r="F57" s="1096">
        <v>0</v>
      </c>
      <c r="G57" s="1096">
        <v>0</v>
      </c>
      <c r="H57" s="1097">
        <v>0</v>
      </c>
    </row>
    <row r="58" spans="1:15" s="368" customFormat="1" x14ac:dyDescent="0.35">
      <c r="A58" s="228"/>
      <c r="B58" s="500" t="s">
        <v>334</v>
      </c>
      <c r="C58" s="1098">
        <v>0</v>
      </c>
      <c r="D58" s="1099">
        <v>3</v>
      </c>
      <c r="E58" s="1099">
        <v>2</v>
      </c>
      <c r="F58" s="1099">
        <v>0</v>
      </c>
      <c r="G58" s="1099">
        <v>1</v>
      </c>
      <c r="H58" s="1100">
        <v>0</v>
      </c>
    </row>
    <row r="59" spans="1:15" s="368" customFormat="1" ht="16.5" customHeight="1" thickBot="1" x14ac:dyDescent="0.4">
      <c r="A59" s="281"/>
      <c r="B59" s="501" t="s">
        <v>300</v>
      </c>
      <c r="C59" s="1101">
        <v>0</v>
      </c>
      <c r="D59" s="1102">
        <v>6</v>
      </c>
      <c r="E59" s="1102">
        <v>6</v>
      </c>
      <c r="F59" s="1102">
        <v>0</v>
      </c>
      <c r="G59" s="1102">
        <v>0</v>
      </c>
      <c r="H59" s="1103">
        <v>0</v>
      </c>
    </row>
  </sheetData>
  <mergeCells count="3">
    <mergeCell ref="C8:J8"/>
    <mergeCell ref="K8:R8"/>
    <mergeCell ref="A37:H37"/>
  </mergeCells>
  <pageMargins left="0.7" right="0.7" top="0.75" bottom="0.75" header="0.3" footer="0.3"/>
  <pageSetup paperSize="9" orientation="landscape" r:id="rId1"/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rgb="FFFF0000"/>
  </sheetPr>
  <dimension ref="A1:R32"/>
  <sheetViews>
    <sheetView showGridLines="0" topLeftCell="A3" zoomScale="80" zoomScaleNormal="80" workbookViewId="0">
      <selection activeCell="C25" sqref="C25:J25"/>
    </sheetView>
  </sheetViews>
  <sheetFormatPr baseColWidth="10" defaultColWidth="11.4609375" defaultRowHeight="14.15" x14ac:dyDescent="0.35"/>
  <cols>
    <col min="1" max="1" width="5.3046875" style="284" customWidth="1"/>
    <col min="2" max="2" width="21.07421875" style="254" customWidth="1"/>
    <col min="3" max="3" width="8.69140625" style="254" customWidth="1"/>
    <col min="4" max="4" width="9" style="254" customWidth="1"/>
    <col min="5" max="5" width="9.69140625" style="254" customWidth="1"/>
    <col min="6" max="6" width="9.84375" style="254" customWidth="1"/>
    <col min="7" max="7" width="9.3046875" style="254" customWidth="1"/>
    <col min="8" max="8" width="12.3046875" style="254" customWidth="1"/>
    <col min="9" max="9" width="12.3046875" style="418" customWidth="1"/>
    <col min="10" max="10" width="11.69140625" style="254" customWidth="1"/>
    <col min="11" max="11" width="9.84375" style="254" customWidth="1"/>
    <col min="12" max="13" width="8.69140625" style="254" customWidth="1"/>
    <col min="14" max="14" width="8.4609375" style="254" customWidth="1"/>
    <col min="15" max="15" width="7.84375" style="254" customWidth="1"/>
    <col min="16" max="16" width="10.3046875" style="254" customWidth="1"/>
    <col min="17" max="17" width="10.3046875" style="418" customWidth="1"/>
    <col min="18" max="18" width="12.53515625" style="254" customWidth="1"/>
    <col min="19" max="19" width="11.4609375" style="254" customWidth="1"/>
    <col min="20" max="16384" width="11.4609375" style="254"/>
  </cols>
  <sheetData>
    <row r="1" spans="1:18" x14ac:dyDescent="0.35">
      <c r="A1" s="263" t="s">
        <v>135</v>
      </c>
      <c r="B1" s="264"/>
    </row>
    <row r="2" spans="1:18" x14ac:dyDescent="0.35">
      <c r="A2" s="265" t="s">
        <v>0</v>
      </c>
    </row>
    <row r="3" spans="1:18" x14ac:dyDescent="0.35">
      <c r="A3" s="265"/>
    </row>
    <row r="4" spans="1:18" x14ac:dyDescent="0.35">
      <c r="A4" s="265" t="str">
        <f>A7</f>
        <v>Tabell 3 -2 - E - Klager etter avslag på sykehjemsplass i år</v>
      </c>
    </row>
    <row r="5" spans="1:18" x14ac:dyDescent="0.35">
      <c r="A5" s="265"/>
    </row>
    <row r="7" spans="1:18" s="185" customFormat="1" ht="14.6" thickBot="1" x14ac:dyDescent="0.35">
      <c r="A7" s="185" t="s">
        <v>156</v>
      </c>
    </row>
    <row r="8" spans="1:18" s="219" customFormat="1" ht="14.6" thickBot="1" x14ac:dyDescent="0.4">
      <c r="A8" s="237"/>
      <c r="B8" s="238"/>
      <c r="C8" s="1653" t="s">
        <v>37</v>
      </c>
      <c r="D8" s="1653"/>
      <c r="E8" s="1653"/>
      <c r="F8" s="1653"/>
      <c r="G8" s="1653"/>
      <c r="H8" s="1653"/>
      <c r="I8" s="1653"/>
      <c r="J8" s="1653"/>
      <c r="K8" s="1653" t="s">
        <v>147</v>
      </c>
      <c r="L8" s="1653"/>
      <c r="M8" s="1653"/>
      <c r="N8" s="1653"/>
      <c r="O8" s="1653"/>
      <c r="P8" s="1653"/>
      <c r="Q8" s="1653"/>
      <c r="R8" s="1653"/>
    </row>
    <row r="9" spans="1:18" s="219" customFormat="1" ht="221.4" customHeight="1" thickBot="1" x14ac:dyDescent="0.4">
      <c r="A9" s="239" t="s">
        <v>369</v>
      </c>
      <c r="B9" s="220" t="s">
        <v>3</v>
      </c>
      <c r="C9" s="239" t="s">
        <v>425</v>
      </c>
      <c r="D9" s="266" t="s">
        <v>157</v>
      </c>
      <c r="E9" s="266" t="s">
        <v>275</v>
      </c>
      <c r="F9" s="267" t="s">
        <v>276</v>
      </c>
      <c r="G9" s="399" t="s">
        <v>158</v>
      </c>
      <c r="H9" s="269" t="s">
        <v>277</v>
      </c>
      <c r="I9" s="266" t="s">
        <v>307</v>
      </c>
      <c r="J9" s="267" t="s">
        <v>278</v>
      </c>
      <c r="K9" s="239" t="s">
        <v>425</v>
      </c>
      <c r="L9" s="266" t="s">
        <v>157</v>
      </c>
      <c r="M9" s="266" t="s">
        <v>275</v>
      </c>
      <c r="N9" s="267" t="s">
        <v>276</v>
      </c>
      <c r="O9" s="268" t="s">
        <v>158</v>
      </c>
      <c r="P9" s="269" t="s">
        <v>426</v>
      </c>
      <c r="Q9" s="266" t="s">
        <v>307</v>
      </c>
      <c r="R9" s="267" t="s">
        <v>278</v>
      </c>
    </row>
    <row r="10" spans="1:18" x14ac:dyDescent="0.35">
      <c r="A10" s="243">
        <v>1</v>
      </c>
      <c r="B10" s="222" t="s">
        <v>14</v>
      </c>
      <c r="C10" s="270">
        <v>1</v>
      </c>
      <c r="D10" s="271">
        <v>1</v>
      </c>
      <c r="E10" s="271">
        <v>0</v>
      </c>
      <c r="F10" s="272">
        <v>0</v>
      </c>
      <c r="G10" s="512">
        <f>D10+F10</f>
        <v>1</v>
      </c>
      <c r="H10" s="270">
        <v>0</v>
      </c>
      <c r="I10" s="271">
        <v>1</v>
      </c>
      <c r="J10" s="272">
        <v>0</v>
      </c>
      <c r="K10" s="270">
        <v>0</v>
      </c>
      <c r="L10" s="271">
        <v>0</v>
      </c>
      <c r="M10" s="271">
        <v>0</v>
      </c>
      <c r="N10" s="272">
        <v>0</v>
      </c>
      <c r="O10" s="512">
        <f>L10+N10</f>
        <v>0</v>
      </c>
      <c r="P10" s="270">
        <v>1</v>
      </c>
      <c r="Q10" s="271">
        <v>0</v>
      </c>
      <c r="R10" s="272">
        <v>0</v>
      </c>
    </row>
    <row r="11" spans="1:18" x14ac:dyDescent="0.35">
      <c r="A11" s="245">
        <v>2</v>
      </c>
      <c r="B11" s="224" t="s">
        <v>15</v>
      </c>
      <c r="C11" s="273">
        <v>1</v>
      </c>
      <c r="D11" s="274">
        <v>0</v>
      </c>
      <c r="E11" s="274">
        <v>0</v>
      </c>
      <c r="F11" s="275">
        <v>0</v>
      </c>
      <c r="G11" s="510">
        <f t="shared" ref="G11:G24" si="0">D11+F11</f>
        <v>0</v>
      </c>
      <c r="H11" s="273">
        <v>0</v>
      </c>
      <c r="I11" s="274">
        <v>0</v>
      </c>
      <c r="J11" s="275">
        <v>0</v>
      </c>
      <c r="K11" s="273">
        <v>0</v>
      </c>
      <c r="L11" s="274">
        <v>0</v>
      </c>
      <c r="M11" s="274">
        <v>0</v>
      </c>
      <c r="N11" s="275">
        <v>0</v>
      </c>
      <c r="O11" s="510">
        <f t="shared" ref="O11:O24" si="1">L11+N11</f>
        <v>0</v>
      </c>
      <c r="P11" s="273">
        <v>0</v>
      </c>
      <c r="Q11" s="274">
        <v>0</v>
      </c>
      <c r="R11" s="275">
        <v>0</v>
      </c>
    </row>
    <row r="12" spans="1:18" x14ac:dyDescent="0.35">
      <c r="A12" s="245">
        <v>3</v>
      </c>
      <c r="B12" s="224" t="s">
        <v>16</v>
      </c>
      <c r="C12" s="273">
        <v>2</v>
      </c>
      <c r="D12" s="274">
        <v>1</v>
      </c>
      <c r="E12" s="274">
        <v>1</v>
      </c>
      <c r="F12" s="275">
        <v>1</v>
      </c>
      <c r="G12" s="510">
        <f t="shared" si="0"/>
        <v>2</v>
      </c>
      <c r="H12" s="273">
        <v>0</v>
      </c>
      <c r="I12" s="274">
        <v>0</v>
      </c>
      <c r="J12" s="275">
        <v>0</v>
      </c>
      <c r="K12" s="273">
        <v>0</v>
      </c>
      <c r="L12" s="274">
        <v>0</v>
      </c>
      <c r="M12" s="274">
        <v>0</v>
      </c>
      <c r="N12" s="275">
        <v>0</v>
      </c>
      <c r="O12" s="510">
        <f t="shared" si="1"/>
        <v>0</v>
      </c>
      <c r="P12" s="273">
        <v>0</v>
      </c>
      <c r="Q12" s="274">
        <v>0</v>
      </c>
      <c r="R12" s="275">
        <v>0</v>
      </c>
    </row>
    <row r="13" spans="1:18" x14ac:dyDescent="0.35">
      <c r="A13" s="245">
        <v>4</v>
      </c>
      <c r="B13" s="224" t="s">
        <v>17</v>
      </c>
      <c r="C13" s="273">
        <v>0</v>
      </c>
      <c r="D13" s="274">
        <v>1</v>
      </c>
      <c r="E13" s="274">
        <v>0</v>
      </c>
      <c r="F13" s="275">
        <v>0</v>
      </c>
      <c r="G13" s="510">
        <f t="shared" si="0"/>
        <v>1</v>
      </c>
      <c r="H13" s="273">
        <v>0</v>
      </c>
      <c r="I13" s="274">
        <v>0</v>
      </c>
      <c r="J13" s="275">
        <v>0</v>
      </c>
      <c r="K13" s="273">
        <v>0</v>
      </c>
      <c r="L13" s="274">
        <v>0</v>
      </c>
      <c r="M13" s="274">
        <v>0</v>
      </c>
      <c r="N13" s="275">
        <v>0</v>
      </c>
      <c r="O13" s="510">
        <f t="shared" si="1"/>
        <v>0</v>
      </c>
      <c r="P13" s="273">
        <v>0</v>
      </c>
      <c r="Q13" s="274">
        <v>0</v>
      </c>
      <c r="R13" s="275">
        <v>0</v>
      </c>
    </row>
    <row r="14" spans="1:18" x14ac:dyDescent="0.35">
      <c r="A14" s="245">
        <v>5</v>
      </c>
      <c r="B14" s="224" t="s">
        <v>18</v>
      </c>
      <c r="C14" s="273">
        <v>1</v>
      </c>
      <c r="D14" s="274">
        <v>1</v>
      </c>
      <c r="E14" s="274">
        <v>0</v>
      </c>
      <c r="F14" s="275">
        <v>0</v>
      </c>
      <c r="G14" s="510">
        <f t="shared" si="0"/>
        <v>1</v>
      </c>
      <c r="H14" s="273">
        <v>0</v>
      </c>
      <c r="I14" s="274">
        <v>0</v>
      </c>
      <c r="J14" s="275">
        <v>0</v>
      </c>
      <c r="K14" s="273">
        <v>0</v>
      </c>
      <c r="L14" s="274">
        <v>0</v>
      </c>
      <c r="M14" s="274">
        <v>0</v>
      </c>
      <c r="N14" s="275">
        <v>0</v>
      </c>
      <c r="O14" s="510">
        <f t="shared" si="1"/>
        <v>0</v>
      </c>
      <c r="P14" s="273">
        <v>0</v>
      </c>
      <c r="Q14" s="274">
        <v>0</v>
      </c>
      <c r="R14" s="275">
        <v>0</v>
      </c>
    </row>
    <row r="15" spans="1:18" x14ac:dyDescent="0.35">
      <c r="A15" s="247">
        <v>6</v>
      </c>
      <c r="B15" s="226" t="s">
        <v>19</v>
      </c>
      <c r="C15" s="273">
        <v>3</v>
      </c>
      <c r="D15" s="274">
        <v>0</v>
      </c>
      <c r="E15" s="274">
        <v>2</v>
      </c>
      <c r="F15" s="275">
        <v>0</v>
      </c>
      <c r="G15" s="510">
        <f t="shared" si="0"/>
        <v>0</v>
      </c>
      <c r="H15" s="273">
        <v>0</v>
      </c>
      <c r="I15" s="274">
        <v>1</v>
      </c>
      <c r="J15" s="275">
        <v>0</v>
      </c>
      <c r="K15" s="273">
        <v>0</v>
      </c>
      <c r="L15" s="274">
        <v>0</v>
      </c>
      <c r="M15" s="274">
        <v>0</v>
      </c>
      <c r="N15" s="275">
        <v>0</v>
      </c>
      <c r="O15" s="510">
        <f t="shared" si="1"/>
        <v>0</v>
      </c>
      <c r="P15" s="273">
        <v>0</v>
      </c>
      <c r="Q15" s="274">
        <v>0</v>
      </c>
      <c r="R15" s="275">
        <v>0</v>
      </c>
    </row>
    <row r="16" spans="1:18" x14ac:dyDescent="0.35">
      <c r="A16" s="247">
        <v>7</v>
      </c>
      <c r="B16" s="226" t="s">
        <v>20</v>
      </c>
      <c r="C16" s="273">
        <v>6</v>
      </c>
      <c r="D16" s="274">
        <v>3</v>
      </c>
      <c r="E16" s="274">
        <v>3</v>
      </c>
      <c r="F16" s="275">
        <v>1</v>
      </c>
      <c r="G16" s="510">
        <f t="shared" si="0"/>
        <v>4</v>
      </c>
      <c r="H16" s="273">
        <v>1</v>
      </c>
      <c r="I16" s="274">
        <v>0</v>
      </c>
      <c r="J16" s="275">
        <v>1</v>
      </c>
      <c r="K16" s="273">
        <v>5</v>
      </c>
      <c r="L16" s="274">
        <v>0</v>
      </c>
      <c r="M16" s="274">
        <v>2</v>
      </c>
      <c r="N16" s="275">
        <v>0</v>
      </c>
      <c r="O16" s="510">
        <f t="shared" si="1"/>
        <v>0</v>
      </c>
      <c r="P16" s="273">
        <v>1</v>
      </c>
      <c r="Q16" s="274">
        <v>3</v>
      </c>
      <c r="R16" s="275">
        <v>0</v>
      </c>
    </row>
    <row r="17" spans="1:18" x14ac:dyDescent="0.35">
      <c r="A17" s="245">
        <v>8</v>
      </c>
      <c r="B17" s="224" t="s">
        <v>21</v>
      </c>
      <c r="C17" s="273">
        <v>8</v>
      </c>
      <c r="D17" s="274">
        <v>3</v>
      </c>
      <c r="E17" s="274">
        <v>3</v>
      </c>
      <c r="F17" s="275">
        <v>0</v>
      </c>
      <c r="G17" s="510">
        <f t="shared" si="0"/>
        <v>3</v>
      </c>
      <c r="H17" s="273">
        <v>1</v>
      </c>
      <c r="I17" s="274">
        <v>1</v>
      </c>
      <c r="J17" s="275">
        <v>1</v>
      </c>
      <c r="K17" s="273">
        <v>0</v>
      </c>
      <c r="L17" s="274">
        <v>0</v>
      </c>
      <c r="M17" s="274">
        <v>0</v>
      </c>
      <c r="N17" s="275">
        <v>0</v>
      </c>
      <c r="O17" s="510">
        <f t="shared" si="1"/>
        <v>0</v>
      </c>
      <c r="P17" s="273">
        <v>0</v>
      </c>
      <c r="Q17" s="274">
        <v>0</v>
      </c>
      <c r="R17" s="275">
        <v>0</v>
      </c>
    </row>
    <row r="18" spans="1:18" x14ac:dyDescent="0.35">
      <c r="A18" s="245">
        <v>9</v>
      </c>
      <c r="B18" s="224" t="s">
        <v>22</v>
      </c>
      <c r="C18" s="273">
        <v>2</v>
      </c>
      <c r="D18" s="274">
        <v>1</v>
      </c>
      <c r="E18" s="274">
        <v>2</v>
      </c>
      <c r="F18" s="275">
        <v>2</v>
      </c>
      <c r="G18" s="510">
        <f t="shared" si="0"/>
        <v>3</v>
      </c>
      <c r="H18" s="273">
        <v>2</v>
      </c>
      <c r="I18" s="274">
        <v>0</v>
      </c>
      <c r="J18" s="275">
        <v>0</v>
      </c>
      <c r="K18" s="273">
        <v>1</v>
      </c>
      <c r="L18" s="274">
        <v>0</v>
      </c>
      <c r="M18" s="274">
        <v>0</v>
      </c>
      <c r="N18" s="275">
        <v>0</v>
      </c>
      <c r="O18" s="510">
        <f t="shared" si="1"/>
        <v>0</v>
      </c>
      <c r="P18" s="273">
        <v>1</v>
      </c>
      <c r="Q18" s="274">
        <v>0</v>
      </c>
      <c r="R18" s="275">
        <v>0</v>
      </c>
    </row>
    <row r="19" spans="1:18" x14ac:dyDescent="0.35">
      <c r="A19" s="245">
        <v>10</v>
      </c>
      <c r="B19" s="224" t="s">
        <v>23</v>
      </c>
      <c r="C19" s="273">
        <v>0</v>
      </c>
      <c r="D19" s="274">
        <v>0</v>
      </c>
      <c r="E19" s="274">
        <v>0</v>
      </c>
      <c r="F19" s="275">
        <v>0</v>
      </c>
      <c r="G19" s="510">
        <f t="shared" si="0"/>
        <v>0</v>
      </c>
      <c r="H19" s="273">
        <v>0</v>
      </c>
      <c r="I19" s="274">
        <v>0</v>
      </c>
      <c r="J19" s="275">
        <v>0</v>
      </c>
      <c r="K19" s="273">
        <v>1</v>
      </c>
      <c r="L19" s="274">
        <v>1</v>
      </c>
      <c r="M19" s="274">
        <v>0</v>
      </c>
      <c r="N19" s="275">
        <v>0</v>
      </c>
      <c r="O19" s="510">
        <f t="shared" si="1"/>
        <v>1</v>
      </c>
      <c r="P19" s="273">
        <v>0</v>
      </c>
      <c r="Q19" s="274">
        <v>0</v>
      </c>
      <c r="R19" s="275">
        <v>0</v>
      </c>
    </row>
    <row r="20" spans="1:18" x14ac:dyDescent="0.35">
      <c r="A20" s="247">
        <v>11</v>
      </c>
      <c r="B20" s="226" t="s">
        <v>24</v>
      </c>
      <c r="C20" s="273">
        <v>5</v>
      </c>
      <c r="D20" s="274">
        <v>3</v>
      </c>
      <c r="E20" s="274">
        <v>0</v>
      </c>
      <c r="F20" s="275">
        <v>0</v>
      </c>
      <c r="G20" s="510">
        <f t="shared" si="0"/>
        <v>3</v>
      </c>
      <c r="H20" s="273">
        <v>1</v>
      </c>
      <c r="I20" s="274">
        <v>1</v>
      </c>
      <c r="J20" s="275">
        <v>0</v>
      </c>
      <c r="K20" s="273">
        <v>0</v>
      </c>
      <c r="L20" s="274">
        <v>0</v>
      </c>
      <c r="M20" s="274">
        <v>0</v>
      </c>
      <c r="N20" s="275">
        <v>0</v>
      </c>
      <c r="O20" s="510">
        <f t="shared" si="1"/>
        <v>0</v>
      </c>
      <c r="P20" s="273">
        <v>0</v>
      </c>
      <c r="Q20" s="274">
        <v>0</v>
      </c>
      <c r="R20" s="275">
        <v>0</v>
      </c>
    </row>
    <row r="21" spans="1:18" x14ac:dyDescent="0.35">
      <c r="A21" s="245">
        <v>12</v>
      </c>
      <c r="B21" s="224" t="s">
        <v>25</v>
      </c>
      <c r="C21" s="273">
        <v>5</v>
      </c>
      <c r="D21" s="274">
        <v>2</v>
      </c>
      <c r="E21" s="274">
        <v>2</v>
      </c>
      <c r="F21" s="275">
        <v>0</v>
      </c>
      <c r="G21" s="510">
        <f t="shared" si="0"/>
        <v>2</v>
      </c>
      <c r="H21" s="273">
        <v>1</v>
      </c>
      <c r="I21" s="274">
        <v>0</v>
      </c>
      <c r="J21" s="275">
        <v>0</v>
      </c>
      <c r="K21" s="273">
        <v>0</v>
      </c>
      <c r="L21" s="274">
        <v>0</v>
      </c>
      <c r="M21" s="274">
        <v>0</v>
      </c>
      <c r="N21" s="275">
        <v>0</v>
      </c>
      <c r="O21" s="510">
        <f t="shared" si="1"/>
        <v>0</v>
      </c>
      <c r="P21" s="273">
        <v>0</v>
      </c>
      <c r="Q21" s="274">
        <v>0</v>
      </c>
      <c r="R21" s="275">
        <v>0</v>
      </c>
    </row>
    <row r="22" spans="1:18" x14ac:dyDescent="0.35">
      <c r="A22" s="245">
        <v>13</v>
      </c>
      <c r="B22" s="224" t="s">
        <v>26</v>
      </c>
      <c r="C22" s="273">
        <v>2</v>
      </c>
      <c r="D22" s="274">
        <v>1</v>
      </c>
      <c r="E22" s="274">
        <v>1</v>
      </c>
      <c r="F22" s="275">
        <v>0</v>
      </c>
      <c r="G22" s="510">
        <f t="shared" si="0"/>
        <v>1</v>
      </c>
      <c r="H22" s="273">
        <v>0</v>
      </c>
      <c r="I22" s="274">
        <v>0</v>
      </c>
      <c r="J22" s="275">
        <v>0</v>
      </c>
      <c r="K22" s="273">
        <v>0</v>
      </c>
      <c r="L22" s="274">
        <v>0</v>
      </c>
      <c r="M22" s="274">
        <v>0</v>
      </c>
      <c r="N22" s="275">
        <v>0</v>
      </c>
      <c r="O22" s="510">
        <f t="shared" si="1"/>
        <v>0</v>
      </c>
      <c r="P22" s="273">
        <v>0</v>
      </c>
      <c r="Q22" s="274">
        <v>0</v>
      </c>
      <c r="R22" s="275">
        <v>0</v>
      </c>
    </row>
    <row r="23" spans="1:18" x14ac:dyDescent="0.35">
      <c r="A23" s="245">
        <v>14</v>
      </c>
      <c r="B23" s="224" t="s">
        <v>27</v>
      </c>
      <c r="C23" s="273">
        <v>0</v>
      </c>
      <c r="D23" s="274">
        <v>0</v>
      </c>
      <c r="E23" s="274">
        <v>0</v>
      </c>
      <c r="F23" s="275">
        <v>0</v>
      </c>
      <c r="G23" s="510">
        <f t="shared" si="0"/>
        <v>0</v>
      </c>
      <c r="H23" s="273">
        <v>0</v>
      </c>
      <c r="I23" s="274">
        <v>0</v>
      </c>
      <c r="J23" s="275">
        <v>0</v>
      </c>
      <c r="K23" s="273">
        <v>0</v>
      </c>
      <c r="L23" s="274">
        <v>0</v>
      </c>
      <c r="M23" s="274">
        <v>0</v>
      </c>
      <c r="N23" s="275">
        <v>0</v>
      </c>
      <c r="O23" s="510">
        <f t="shared" si="1"/>
        <v>0</v>
      </c>
      <c r="P23" s="273">
        <v>0</v>
      </c>
      <c r="Q23" s="274">
        <v>0</v>
      </c>
      <c r="R23" s="275">
        <v>0</v>
      </c>
    </row>
    <row r="24" spans="1:18" ht="28.75" thickBot="1" x14ac:dyDescent="0.4">
      <c r="A24" s="248">
        <v>15</v>
      </c>
      <c r="B24" s="227" t="s">
        <v>28</v>
      </c>
      <c r="C24" s="276">
        <v>0</v>
      </c>
      <c r="D24" s="277">
        <v>0</v>
      </c>
      <c r="E24" s="277">
        <v>0</v>
      </c>
      <c r="F24" s="278">
        <v>0</v>
      </c>
      <c r="G24" s="511">
        <f t="shared" si="0"/>
        <v>0</v>
      </c>
      <c r="H24" s="276">
        <v>0</v>
      </c>
      <c r="I24" s="277">
        <v>0</v>
      </c>
      <c r="J24" s="278">
        <v>0</v>
      </c>
      <c r="K24" s="276">
        <v>0</v>
      </c>
      <c r="L24" s="277">
        <v>0</v>
      </c>
      <c r="M24" s="277">
        <v>0</v>
      </c>
      <c r="N24" s="278">
        <v>0</v>
      </c>
      <c r="O24" s="511">
        <f t="shared" si="1"/>
        <v>0</v>
      </c>
      <c r="P24" s="276">
        <v>0</v>
      </c>
      <c r="Q24" s="277">
        <v>0</v>
      </c>
      <c r="R24" s="278">
        <v>0</v>
      </c>
    </row>
    <row r="25" spans="1:18" x14ac:dyDescent="0.35">
      <c r="A25" s="250"/>
      <c r="B25" s="498" t="s">
        <v>541</v>
      </c>
      <c r="C25" s="504">
        <f t="shared" ref="C25:R25" si="2">SUM(C10:C24)</f>
        <v>36</v>
      </c>
      <c r="D25" s="279">
        <f t="shared" si="2"/>
        <v>17</v>
      </c>
      <c r="E25" s="279">
        <f t="shared" si="2"/>
        <v>14</v>
      </c>
      <c r="F25" s="280">
        <f t="shared" si="2"/>
        <v>4</v>
      </c>
      <c r="G25" s="506">
        <f t="shared" si="2"/>
        <v>21</v>
      </c>
      <c r="H25" s="504">
        <f t="shared" si="2"/>
        <v>6</v>
      </c>
      <c r="I25" s="279">
        <f t="shared" si="2"/>
        <v>4</v>
      </c>
      <c r="J25" s="280">
        <f t="shared" si="2"/>
        <v>2</v>
      </c>
      <c r="K25" s="502">
        <f t="shared" si="2"/>
        <v>7</v>
      </c>
      <c r="L25" s="279">
        <f t="shared" si="2"/>
        <v>1</v>
      </c>
      <c r="M25" s="279">
        <f t="shared" si="2"/>
        <v>2</v>
      </c>
      <c r="N25" s="496">
        <f t="shared" si="2"/>
        <v>0</v>
      </c>
      <c r="O25" s="508">
        <f t="shared" si="2"/>
        <v>1</v>
      </c>
      <c r="P25" s="502">
        <f t="shared" si="2"/>
        <v>3</v>
      </c>
      <c r="Q25" s="279">
        <f t="shared" si="2"/>
        <v>3</v>
      </c>
      <c r="R25" s="280">
        <f t="shared" si="2"/>
        <v>0</v>
      </c>
    </row>
    <row r="26" spans="1:18" s="368" customFormat="1" x14ac:dyDescent="0.35">
      <c r="A26" s="419"/>
      <c r="B26" s="499" t="s">
        <v>463</v>
      </c>
      <c r="C26" s="505">
        <v>52</v>
      </c>
      <c r="D26" s="282">
        <v>27</v>
      </c>
      <c r="E26" s="282">
        <v>6</v>
      </c>
      <c r="F26" s="283">
        <v>2</v>
      </c>
      <c r="G26" s="507">
        <v>29</v>
      </c>
      <c r="H26" s="505">
        <v>16</v>
      </c>
      <c r="I26" s="282">
        <v>3</v>
      </c>
      <c r="J26" s="283">
        <v>1</v>
      </c>
      <c r="K26" s="503">
        <v>10</v>
      </c>
      <c r="L26" s="282">
        <v>9</v>
      </c>
      <c r="M26" s="282">
        <v>2</v>
      </c>
      <c r="N26" s="497">
        <v>1</v>
      </c>
      <c r="O26" s="509">
        <v>10</v>
      </c>
      <c r="P26" s="503">
        <v>0</v>
      </c>
      <c r="Q26" s="497">
        <v>0</v>
      </c>
      <c r="R26" s="283">
        <v>1</v>
      </c>
    </row>
    <row r="27" spans="1:18" s="368" customFormat="1" x14ac:dyDescent="0.35">
      <c r="A27" s="419"/>
      <c r="B27" s="499" t="s">
        <v>415</v>
      </c>
      <c r="C27" s="505">
        <v>54</v>
      </c>
      <c r="D27" s="282">
        <v>23</v>
      </c>
      <c r="E27" s="282">
        <v>12</v>
      </c>
      <c r="F27" s="283">
        <v>3</v>
      </c>
      <c r="G27" s="507">
        <v>26</v>
      </c>
      <c r="H27" s="505">
        <v>16</v>
      </c>
      <c r="I27" s="282">
        <v>5</v>
      </c>
      <c r="J27" s="283">
        <v>5</v>
      </c>
      <c r="K27" s="503">
        <v>16</v>
      </c>
      <c r="L27" s="282">
        <v>9</v>
      </c>
      <c r="M27" s="282">
        <v>4</v>
      </c>
      <c r="N27" s="497">
        <v>2</v>
      </c>
      <c r="O27" s="509">
        <v>11</v>
      </c>
      <c r="P27" s="503">
        <v>4</v>
      </c>
      <c r="Q27" s="497">
        <v>0</v>
      </c>
      <c r="R27" s="283">
        <v>2</v>
      </c>
    </row>
    <row r="28" spans="1:18" s="368" customFormat="1" x14ac:dyDescent="0.35">
      <c r="A28" s="419"/>
      <c r="B28" s="499" t="s">
        <v>367</v>
      </c>
      <c r="C28" s="505">
        <v>55</v>
      </c>
      <c r="D28" s="282">
        <v>27</v>
      </c>
      <c r="E28" s="282">
        <v>21</v>
      </c>
      <c r="F28" s="283">
        <v>12</v>
      </c>
      <c r="G28" s="507">
        <v>39</v>
      </c>
      <c r="H28" s="505">
        <v>10</v>
      </c>
      <c r="I28" s="282">
        <v>6</v>
      </c>
      <c r="J28" s="283">
        <v>4</v>
      </c>
      <c r="K28" s="503">
        <v>44</v>
      </c>
      <c r="L28" s="282">
        <v>24</v>
      </c>
      <c r="M28" s="282">
        <v>4</v>
      </c>
      <c r="N28" s="497">
        <v>1</v>
      </c>
      <c r="O28" s="509">
        <v>25</v>
      </c>
      <c r="P28" s="503">
        <v>14</v>
      </c>
      <c r="Q28" s="497">
        <v>5</v>
      </c>
      <c r="R28" s="283">
        <v>2</v>
      </c>
    </row>
    <row r="29" spans="1:18" s="368" customFormat="1" ht="14.6" thickBot="1" x14ac:dyDescent="0.4">
      <c r="A29" s="738"/>
      <c r="B29" s="739" t="s">
        <v>334</v>
      </c>
      <c r="C29" s="740">
        <v>63</v>
      </c>
      <c r="D29" s="514">
        <v>21</v>
      </c>
      <c r="E29" s="514">
        <v>22</v>
      </c>
      <c r="F29" s="515">
        <v>14</v>
      </c>
      <c r="G29" s="741">
        <v>35</v>
      </c>
      <c r="H29" s="740">
        <v>14</v>
      </c>
      <c r="I29" s="514">
        <v>4</v>
      </c>
      <c r="J29" s="515">
        <v>8</v>
      </c>
      <c r="K29" s="503">
        <v>25</v>
      </c>
      <c r="L29" s="282">
        <v>14</v>
      </c>
      <c r="M29" s="282">
        <v>6</v>
      </c>
      <c r="N29" s="497">
        <v>1</v>
      </c>
      <c r="O29" s="509">
        <v>15</v>
      </c>
      <c r="P29" s="503">
        <v>4</v>
      </c>
      <c r="Q29" s="497">
        <v>4</v>
      </c>
      <c r="R29" s="283">
        <v>2</v>
      </c>
    </row>
    <row r="30" spans="1:18" s="368" customFormat="1" x14ac:dyDescent="0.35">
      <c r="A30" s="419"/>
      <c r="B30" s="499" t="s">
        <v>300</v>
      </c>
      <c r="C30" s="505">
        <v>47</v>
      </c>
      <c r="D30" s="282">
        <v>24</v>
      </c>
      <c r="E30" s="282">
        <v>11</v>
      </c>
      <c r="F30" s="283">
        <v>4</v>
      </c>
      <c r="G30" s="507">
        <v>29</v>
      </c>
      <c r="H30" s="505">
        <v>7</v>
      </c>
      <c r="I30" s="282">
        <v>4</v>
      </c>
      <c r="J30" s="283">
        <v>3</v>
      </c>
      <c r="K30" s="503">
        <v>23</v>
      </c>
      <c r="L30" s="282">
        <v>10</v>
      </c>
      <c r="M30" s="282">
        <v>6</v>
      </c>
      <c r="N30" s="497">
        <v>1</v>
      </c>
      <c r="O30" s="509">
        <v>11</v>
      </c>
      <c r="P30" s="503">
        <v>6</v>
      </c>
      <c r="Q30" s="497">
        <v>1</v>
      </c>
      <c r="R30" s="283">
        <v>3</v>
      </c>
    </row>
    <row r="31" spans="1:18" s="368" customFormat="1" ht="14.6" thickBot="1" x14ac:dyDescent="0.4">
      <c r="A31" s="738"/>
      <c r="B31" s="739" t="s">
        <v>155</v>
      </c>
      <c r="C31" s="740">
        <v>47</v>
      </c>
      <c r="D31" s="514">
        <v>21</v>
      </c>
      <c r="E31" s="514">
        <v>13</v>
      </c>
      <c r="F31" s="515">
        <v>8</v>
      </c>
      <c r="G31" s="741">
        <v>29</v>
      </c>
      <c r="H31" s="740">
        <v>8</v>
      </c>
      <c r="I31" s="742" t="s">
        <v>126</v>
      </c>
      <c r="J31" s="515">
        <v>6</v>
      </c>
      <c r="K31" s="666">
        <v>14</v>
      </c>
      <c r="L31" s="514">
        <v>6</v>
      </c>
      <c r="M31" s="514">
        <v>5</v>
      </c>
      <c r="N31" s="743">
        <v>1</v>
      </c>
      <c r="O31" s="513">
        <v>7</v>
      </c>
      <c r="P31" s="666">
        <v>6</v>
      </c>
      <c r="Q31" s="744" t="s">
        <v>126</v>
      </c>
      <c r="R31" s="515">
        <v>3</v>
      </c>
    </row>
    <row r="32" spans="1:18" x14ac:dyDescent="0.35">
      <c r="A32" s="265"/>
    </row>
  </sheetData>
  <mergeCells count="2">
    <mergeCell ref="C8:J8"/>
    <mergeCell ref="K8:R8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rgb="FFFF0000"/>
  </sheetPr>
  <dimension ref="A1:G31"/>
  <sheetViews>
    <sheetView showGridLines="0" zoomScaleNormal="100" workbookViewId="0">
      <selection activeCell="I8" sqref="I8"/>
    </sheetView>
  </sheetViews>
  <sheetFormatPr baseColWidth="10" defaultColWidth="11.4609375" defaultRowHeight="14.15" x14ac:dyDescent="0.35"/>
  <cols>
    <col min="1" max="1" width="8.3046875" style="368" customWidth="1"/>
    <col min="2" max="2" width="24.84375" style="368" customWidth="1"/>
    <col min="3" max="3" width="16.3046875" style="368" customWidth="1"/>
    <col min="4" max="4" width="17.4609375" style="368" customWidth="1"/>
    <col min="5" max="5" width="16.84375" style="368" customWidth="1"/>
    <col min="6" max="6" width="18.4609375" style="368" customWidth="1"/>
    <col min="7" max="16384" width="11.4609375" style="368"/>
  </cols>
  <sheetData>
    <row r="1" spans="1:6" x14ac:dyDescent="0.35">
      <c r="A1" s="263" t="s">
        <v>135</v>
      </c>
      <c r="B1" s="263"/>
    </row>
    <row r="2" spans="1:6" x14ac:dyDescent="0.35">
      <c r="A2" s="216" t="s">
        <v>0</v>
      </c>
    </row>
    <row r="3" spans="1:6" x14ac:dyDescent="0.35">
      <c r="A3" s="368" t="str">
        <f>A5</f>
        <v>Tabell 3-2-E-1 Saksbehandlingstid - klager etter avslag på søknad om sykehjemsplass i år</v>
      </c>
    </row>
    <row r="5" spans="1:6" x14ac:dyDescent="0.35">
      <c r="A5" s="553" t="s">
        <v>268</v>
      </c>
    </row>
    <row r="6" spans="1:6" ht="14.6" thickBot="1" x14ac:dyDescent="0.4"/>
    <row r="7" spans="1:6" ht="14.6" thickBot="1" x14ac:dyDescent="0.4">
      <c r="A7" s="554"/>
      <c r="B7" s="555"/>
      <c r="C7" s="1657" t="s">
        <v>37</v>
      </c>
      <c r="D7" s="1658"/>
      <c r="E7" s="1659" t="s">
        <v>147</v>
      </c>
      <c r="F7" s="1660"/>
    </row>
    <row r="8" spans="1:6" ht="71.150000000000006" thickBot="1" x14ac:dyDescent="0.4">
      <c r="A8" s="556" t="s">
        <v>2</v>
      </c>
      <c r="B8" s="220" t="s">
        <v>3</v>
      </c>
      <c r="C8" s="557" t="s">
        <v>439</v>
      </c>
      <c r="D8" s="558" t="s">
        <v>428</v>
      </c>
      <c r="E8" s="557" t="s">
        <v>439</v>
      </c>
      <c r="F8" s="558" t="s">
        <v>428</v>
      </c>
    </row>
    <row r="9" spans="1:6" x14ac:dyDescent="0.35">
      <c r="A9" s="221">
        <v>1</v>
      </c>
      <c r="B9" s="222" t="s">
        <v>14</v>
      </c>
      <c r="C9" s="559">
        <v>1</v>
      </c>
      <c r="D9" s="560">
        <v>0</v>
      </c>
      <c r="E9" s="559">
        <v>0</v>
      </c>
      <c r="F9" s="560">
        <v>0</v>
      </c>
    </row>
    <row r="10" spans="1:6" x14ac:dyDescent="0.35">
      <c r="A10" s="223">
        <v>2</v>
      </c>
      <c r="B10" s="224" t="s">
        <v>15</v>
      </c>
      <c r="C10" s="561">
        <v>0</v>
      </c>
      <c r="D10" s="562">
        <v>0</v>
      </c>
      <c r="E10" s="561">
        <v>0</v>
      </c>
      <c r="F10" s="562">
        <v>0</v>
      </c>
    </row>
    <row r="11" spans="1:6" x14ac:dyDescent="0.35">
      <c r="A11" s="223">
        <v>3</v>
      </c>
      <c r="B11" s="224" t="s">
        <v>16</v>
      </c>
      <c r="C11" s="563">
        <v>31</v>
      </c>
      <c r="D11" s="562">
        <v>213</v>
      </c>
      <c r="E11" s="563">
        <v>0</v>
      </c>
      <c r="F11" s="562">
        <v>0</v>
      </c>
    </row>
    <row r="12" spans="1:6" x14ac:dyDescent="0.35">
      <c r="A12" s="223">
        <v>4</v>
      </c>
      <c r="B12" s="224" t="s">
        <v>17</v>
      </c>
      <c r="C12" s="561">
        <v>15</v>
      </c>
      <c r="D12" s="562">
        <v>0</v>
      </c>
      <c r="E12" s="561">
        <v>0</v>
      </c>
      <c r="F12" s="562">
        <v>0</v>
      </c>
    </row>
    <row r="13" spans="1:6" x14ac:dyDescent="0.35">
      <c r="A13" s="223">
        <v>5</v>
      </c>
      <c r="B13" s="224" t="s">
        <v>18</v>
      </c>
      <c r="C13" s="561">
        <v>84</v>
      </c>
      <c r="D13" s="562">
        <v>0</v>
      </c>
      <c r="E13" s="561">
        <v>0</v>
      </c>
      <c r="F13" s="562">
        <v>0</v>
      </c>
    </row>
    <row r="14" spans="1:6" x14ac:dyDescent="0.35">
      <c r="A14" s="225">
        <v>6</v>
      </c>
      <c r="B14" s="226" t="s">
        <v>19</v>
      </c>
      <c r="C14" s="561">
        <v>0</v>
      </c>
      <c r="D14" s="562">
        <v>145</v>
      </c>
      <c r="E14" s="561">
        <v>0</v>
      </c>
      <c r="F14" s="562">
        <v>0</v>
      </c>
    </row>
    <row r="15" spans="1:6" x14ac:dyDescent="0.35">
      <c r="A15" s="225">
        <v>7</v>
      </c>
      <c r="B15" s="226" t="s">
        <v>20</v>
      </c>
      <c r="C15" s="563">
        <v>67</v>
      </c>
      <c r="D15" s="562">
        <v>0</v>
      </c>
      <c r="E15" s="563">
        <v>28</v>
      </c>
      <c r="F15" s="562">
        <v>0</v>
      </c>
    </row>
    <row r="16" spans="1:6" x14ac:dyDescent="0.35">
      <c r="A16" s="223">
        <v>8</v>
      </c>
      <c r="B16" s="224" t="s">
        <v>21</v>
      </c>
      <c r="C16" s="561">
        <v>40</v>
      </c>
      <c r="D16" s="562">
        <v>240</v>
      </c>
      <c r="E16" s="561">
        <v>0</v>
      </c>
      <c r="F16" s="562">
        <v>0</v>
      </c>
    </row>
    <row r="17" spans="1:7" x14ac:dyDescent="0.35">
      <c r="A17" s="223">
        <v>9</v>
      </c>
      <c r="B17" s="224" t="s">
        <v>22</v>
      </c>
      <c r="C17" s="561">
        <v>70</v>
      </c>
      <c r="D17" s="562">
        <v>0</v>
      </c>
      <c r="E17" s="561">
        <v>0</v>
      </c>
      <c r="F17" s="562">
        <v>0</v>
      </c>
      <c r="G17" s="287"/>
    </row>
    <row r="18" spans="1:7" x14ac:dyDescent="0.35">
      <c r="A18" s="223">
        <v>10</v>
      </c>
      <c r="B18" s="224" t="s">
        <v>23</v>
      </c>
      <c r="C18" s="561">
        <v>0</v>
      </c>
      <c r="D18" s="562">
        <v>0</v>
      </c>
      <c r="E18" s="561">
        <v>18</v>
      </c>
      <c r="F18" s="562">
        <v>0</v>
      </c>
    </row>
    <row r="19" spans="1:7" x14ac:dyDescent="0.35">
      <c r="A19" s="225">
        <v>11</v>
      </c>
      <c r="B19" s="226" t="s">
        <v>24</v>
      </c>
      <c r="C19" s="563">
        <v>37.333333333333336</v>
      </c>
      <c r="D19" s="562">
        <v>0</v>
      </c>
      <c r="E19" s="561">
        <v>0</v>
      </c>
      <c r="F19" s="562">
        <v>0</v>
      </c>
    </row>
    <row r="20" spans="1:7" x14ac:dyDescent="0.35">
      <c r="A20" s="223">
        <v>12</v>
      </c>
      <c r="B20" s="224" t="s">
        <v>25</v>
      </c>
      <c r="C20" s="561">
        <v>21</v>
      </c>
      <c r="D20" s="562">
        <v>67</v>
      </c>
      <c r="E20" s="561">
        <v>0</v>
      </c>
      <c r="F20" s="562">
        <v>0</v>
      </c>
    </row>
    <row r="21" spans="1:7" x14ac:dyDescent="0.35">
      <c r="A21" s="223">
        <v>13</v>
      </c>
      <c r="B21" s="224" t="s">
        <v>26</v>
      </c>
      <c r="C21" s="563">
        <v>8</v>
      </c>
      <c r="D21" s="562">
        <v>208</v>
      </c>
      <c r="E21" s="563">
        <v>0</v>
      </c>
      <c r="F21" s="562">
        <v>0</v>
      </c>
    </row>
    <row r="22" spans="1:7" x14ac:dyDescent="0.35">
      <c r="A22" s="223">
        <v>14</v>
      </c>
      <c r="B22" s="224" t="s">
        <v>27</v>
      </c>
      <c r="C22" s="563">
        <v>0</v>
      </c>
      <c r="D22" s="562">
        <v>0</v>
      </c>
      <c r="E22" s="563">
        <v>0</v>
      </c>
      <c r="F22" s="562">
        <v>0</v>
      </c>
    </row>
    <row r="23" spans="1:7" ht="14.6" thickBot="1" x14ac:dyDescent="0.4">
      <c r="A23" s="495">
        <v>15</v>
      </c>
      <c r="B23" s="227" t="s">
        <v>28</v>
      </c>
      <c r="C23" s="603">
        <v>0</v>
      </c>
      <c r="D23" s="604">
        <v>0</v>
      </c>
      <c r="E23" s="603">
        <v>0</v>
      </c>
      <c r="F23" s="604">
        <v>0</v>
      </c>
    </row>
    <row r="24" spans="1:7" x14ac:dyDescent="0.35">
      <c r="A24" s="250"/>
      <c r="B24" s="498" t="s">
        <v>553</v>
      </c>
      <c r="C24" s="814">
        <f>SUM(C9:C23)/10</f>
        <v>37.43333333333333</v>
      </c>
      <c r="D24" s="394">
        <f>SUM(D9:D23)/3</f>
        <v>291</v>
      </c>
      <c r="E24" s="811">
        <f>SUM(E9:E23)/4</f>
        <v>11.5</v>
      </c>
      <c r="F24" s="394">
        <f>SUM(F9:F23)/1</f>
        <v>0</v>
      </c>
    </row>
    <row r="25" spans="1:7" x14ac:dyDescent="0.35">
      <c r="A25" s="419"/>
      <c r="B25" s="499" t="s">
        <v>470</v>
      </c>
      <c r="C25" s="1174">
        <v>35.058</v>
      </c>
      <c r="D25" s="1175">
        <v>171.33333333333334</v>
      </c>
      <c r="E25" s="1176">
        <v>6.125</v>
      </c>
      <c r="F25" s="1175">
        <v>83</v>
      </c>
    </row>
    <row r="26" spans="1:7" x14ac:dyDescent="0.35">
      <c r="A26" s="419"/>
      <c r="B26" s="499" t="s">
        <v>427</v>
      </c>
      <c r="C26" s="1174">
        <v>48.160000000000004</v>
      </c>
      <c r="D26" s="1175">
        <v>107.6</v>
      </c>
      <c r="E26" s="1176">
        <v>35</v>
      </c>
      <c r="F26" s="1175">
        <v>177</v>
      </c>
    </row>
    <row r="27" spans="1:7" x14ac:dyDescent="0.35">
      <c r="A27" s="228"/>
      <c r="B27" s="500" t="s">
        <v>368</v>
      </c>
      <c r="C27" s="815">
        <v>37.263636363636358</v>
      </c>
      <c r="D27" s="810">
        <v>110.875</v>
      </c>
      <c r="E27" s="812">
        <v>76</v>
      </c>
      <c r="F27" s="810">
        <v>125</v>
      </c>
    </row>
    <row r="28" spans="1:7" x14ac:dyDescent="0.35">
      <c r="A28" s="228"/>
      <c r="B28" s="500" t="s">
        <v>336</v>
      </c>
      <c r="C28" s="815">
        <v>54.7</v>
      </c>
      <c r="D28" s="810">
        <v>149.88888888888889</v>
      </c>
      <c r="E28" s="812">
        <v>38.964285714285715</v>
      </c>
      <c r="F28" s="810">
        <v>120.25</v>
      </c>
    </row>
    <row r="29" spans="1:7" x14ac:dyDescent="0.35">
      <c r="A29" s="228"/>
      <c r="B29" s="500" t="s">
        <v>308</v>
      </c>
      <c r="C29" s="815">
        <v>66.442142857142855</v>
      </c>
      <c r="D29" s="810">
        <v>96.608571428571423</v>
      </c>
      <c r="E29" s="812">
        <v>44.166666666666664</v>
      </c>
      <c r="F29" s="810">
        <v>23.714285714285715</v>
      </c>
    </row>
    <row r="30" spans="1:7" ht="14.6" thickBot="1" x14ac:dyDescent="0.4">
      <c r="A30" s="281"/>
      <c r="B30" s="501" t="s">
        <v>165</v>
      </c>
      <c r="C30" s="816">
        <v>50.125</v>
      </c>
      <c r="D30" s="393">
        <v>86.857142857142861</v>
      </c>
      <c r="E30" s="813">
        <v>21.166666666666668</v>
      </c>
      <c r="F30" s="393">
        <v>8.4285714285714288</v>
      </c>
    </row>
    <row r="31" spans="1:7" x14ac:dyDescent="0.35">
      <c r="A31" s="564" t="s">
        <v>164</v>
      </c>
    </row>
  </sheetData>
  <mergeCells count="2">
    <mergeCell ref="C7:D7"/>
    <mergeCell ref="E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33</vt:i4>
      </vt:variant>
      <vt:variant>
        <vt:lpstr>Navngitte områder</vt:lpstr>
      </vt:variant>
      <vt:variant>
        <vt:i4>4</vt:i4>
      </vt:variant>
    </vt:vector>
  </HeadingPairs>
  <TitlesOfParts>
    <vt:vector size="37" baseType="lpstr">
      <vt:lpstr>Tab 1-16-A Fysioterapitilbud</vt:lpstr>
      <vt:lpstr>Tab 1-16-B Psykologer i byd.</vt:lpstr>
      <vt:lpstr>Tab_3_1_B-A1-A7-Alder-beboere</vt:lpstr>
      <vt:lpstr>Tab_3_2_-_Ventetid</vt:lpstr>
      <vt:lpstr>Tab_3_2-B-saksbeh_tider</vt:lpstr>
      <vt:lpstr>Tab_3-2-c-UTSKR_KLARE_PAS_</vt:lpstr>
      <vt:lpstr>Tab_3-2-D-søkn_avsl_sykehj_pl</vt:lpstr>
      <vt:lpstr>Tab_3-2-E-klager_etter_avslag</vt:lpstr>
      <vt:lpstr>Tab 3-2-E-1 Saksbeh.tid klager</vt:lpstr>
      <vt:lpstr>Tab_3-2-F-alt_tilb</vt:lpstr>
      <vt:lpstr>Tab_3-3-B_oppholdsdøgn</vt:lpstr>
      <vt:lpstr>Tab_3-3-C_opphdøgn_type_opphol</vt:lpstr>
      <vt:lpstr>Tab_3-4-Egenbet__i_inst_-HMS</vt:lpstr>
      <vt:lpstr>Tab_3_5_-_hjemmetjenester</vt:lpstr>
      <vt:lpstr>3-5A-2 Pb+hj.skp+avl. og oms.l</vt:lpstr>
      <vt:lpstr>Tab_3_5B_-_Ant__vedtakstimer</vt:lpstr>
      <vt:lpstr>Tab 3-5C hverdagsrehabilitering</vt:lpstr>
      <vt:lpstr>Tab_3_6_-_andel_mottakere_hj_tj</vt:lpstr>
      <vt:lpstr>Tab3-7-saksb_tid-hjemmetjen</vt:lpstr>
      <vt:lpstr>3-7 Kvalitet hj.tj</vt:lpstr>
      <vt:lpstr>Tab_3-8-A_dagsenter</vt:lpstr>
      <vt:lpstr>Tab 3-8-A-2 Dagakt.-demente</vt:lpstr>
      <vt:lpstr>3-8-B Trygghetsalarmer</vt:lpstr>
      <vt:lpstr>3-8-C Ernæringskartlegging</vt:lpstr>
      <vt:lpstr>Tab_3_9_-_omsorgsboliger</vt:lpstr>
      <vt:lpstr>Tab_3_9_B Søkn omsorg+</vt:lpstr>
      <vt:lpstr>Tab_3_9_C Klager omsorg+</vt:lpstr>
      <vt:lpstr>Tab_3-10-personer_med_utv_h_</vt:lpstr>
      <vt:lpstr>Tab_3-11-boforhold_for_utv_h_</vt:lpstr>
      <vt:lpstr>Tab_3-12-akt__for_psyk_utv_h_</vt:lpstr>
      <vt:lpstr>Tab_3-14-eldresentre_m_v_</vt:lpstr>
      <vt:lpstr>Tab 3-14-C Seniorveiledertjenes</vt:lpstr>
      <vt:lpstr>kriteriebefolkning</vt:lpstr>
      <vt:lpstr>'3-5A-2 Pb+hj.skp+avl. og oms.l'!Utskriftsområde</vt:lpstr>
      <vt:lpstr>kriteriebefolkning!Utskriftsområde</vt:lpstr>
      <vt:lpstr>'Tab_3-2-D-søkn_avsl_sykehj_pl'!Utskriftsområde</vt:lpstr>
      <vt:lpstr>'Tab_3-3-C_opphdøgn_type_opphol'!Utskriftsområde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2019-04-26T07:11:35Z</cp:lastPrinted>
  <dcterms:created xsi:type="dcterms:W3CDTF">2003-11-04T12:39:02Z</dcterms:created>
  <dcterms:modified xsi:type="dcterms:W3CDTF">2020-04-29T07:32:19Z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14:11:59</vt:lpwstr>
  </property>
</Properties>
</file>