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asplanviak.sharepoint.com/sites/645103-01/Delte dokumenter/General/Mal og veileder/"/>
    </mc:Choice>
  </mc:AlternateContent>
  <xr:revisionPtr revIDLastSave="8471" documentId="8_{00114A04-E6DE-4FC1-A76A-B1457FE3F0A9}" xr6:coauthVersionLast="47" xr6:coauthVersionMax="47" xr10:uidLastSave="{DA1B2131-5D5A-49DC-A136-56DE5FAD16EA}"/>
  <workbookProtection workbookAlgorithmName="SHA-512" workbookHashValue="X1LqK28DH2KuQKjGl9678CuL5+1akGaWjQjbs0nPL3Mj2F/8+kuoxeyfREw+zk1P583dw82iowQYQ2mHDNYGfg==" workbookSaltValue="oUXOLIuyYR/TY/AvPRLh+A==" workbookSpinCount="100000" lockStructure="1"/>
  <bookViews>
    <workbookView xWindow="-120" yWindow="-120" windowWidth="51840" windowHeight="21240" tabRatio="703" xr2:uid="{01FF0097-B727-425F-9DC6-32CF7B7CC4CC}"/>
  </bookViews>
  <sheets>
    <sheet name="Intro" sheetId="1" r:id="rId1"/>
    <sheet name="Resultat" sheetId="3" r:id="rId2"/>
    <sheet name="Generelt om prosjektet" sheetId="5" r:id="rId3"/>
    <sheet name="Alternativ 1" sheetId="9" r:id="rId4"/>
    <sheet name="Alternativ 2" sheetId="13" r:id="rId5"/>
    <sheet name="Alternativ 3" sheetId="14" r:id="rId6"/>
    <sheet name="Alternativ 4" sheetId="15" r:id="rId7"/>
    <sheet name="Alternativ 5" sheetId="16" r:id="rId8"/>
    <sheet name="Utslippsdata" sheetId="6" r:id="rId9"/>
  </sheets>
  <definedNames>
    <definedName name="Ja" localSheetId="4">'Alternativ 2'!$AA$46</definedName>
    <definedName name="Ja" localSheetId="5">'Alternativ 3'!$AA$46</definedName>
    <definedName name="Ja" localSheetId="6">'Alternativ 4'!$AA$46</definedName>
    <definedName name="Ja" localSheetId="7">'Alternativ 5'!$AA$46</definedName>
    <definedName name="Ja">'Alternativ 1'!$AA$46</definedName>
    <definedName name="Nei" localSheetId="4">'Alternativ 2'!$AA$47</definedName>
    <definedName name="Nei" localSheetId="5">'Alternativ 3'!$AA$47</definedName>
    <definedName name="Nei" localSheetId="6">'Alternativ 4'!$AA$47</definedName>
    <definedName name="Nei" localSheetId="7">'Alternativ 5'!$AA$47</definedName>
    <definedName name="Nei">'Alternativ 1'!$AA$47</definedName>
    <definedName name="_xlnm.Print_Area" localSheetId="3">'Alternativ 1'!$C$2:$T$159</definedName>
    <definedName name="_xlnm.Print_Area" localSheetId="4">'Alternativ 2'!$C$2:$T$159</definedName>
    <definedName name="_xlnm.Print_Area" localSheetId="5">'Alternativ 3'!$C$2:$T$159</definedName>
    <definedName name="_xlnm.Print_Area" localSheetId="6">'Alternativ 4'!$C$2:$T$159</definedName>
    <definedName name="_xlnm.Print_Area" localSheetId="7">'Alternativ 5'!$C$2:$T$159</definedName>
    <definedName name="_xlnm.Print_Area" localSheetId="2">'Generelt om prosjektet'!$B$2:$D$52</definedName>
    <definedName name="_xlnm.Print_Area" localSheetId="0">Intro!$B$2:$U$17</definedName>
    <definedName name="_xlnm.Print_Area" localSheetId="1">Resultat!$C$2:$M$68</definedName>
    <definedName name="_xlnm.Print_Area" localSheetId="8">Utslippsdata!$B$3:$I$153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C107" i="13"/>
  <c r="C107" i="14"/>
  <c r="C107" i="15"/>
  <c r="C107" i="16"/>
  <c r="M40" i="3"/>
  <c r="M39" i="3"/>
  <c r="L39" i="3"/>
  <c r="M38" i="3"/>
  <c r="L38" i="3"/>
  <c r="M37" i="3"/>
  <c r="M36" i="3"/>
  <c r="L36" i="3"/>
  <c r="L24" i="3"/>
  <c r="L21" i="3"/>
  <c r="L16" i="3"/>
  <c r="L15" i="3"/>
  <c r="K40" i="3"/>
  <c r="J38" i="3"/>
  <c r="J37" i="3"/>
  <c r="K36" i="3"/>
  <c r="J36" i="3"/>
  <c r="J24" i="3"/>
  <c r="J21" i="3"/>
  <c r="J16" i="3"/>
  <c r="J15" i="3"/>
  <c r="H21" i="3"/>
  <c r="H15" i="3"/>
  <c r="C2" i="14"/>
  <c r="C2" i="15"/>
  <c r="C2" i="16"/>
  <c r="D143" i="16"/>
  <c r="E143" i="16"/>
  <c r="F143" i="16"/>
  <c r="G143" i="16"/>
  <c r="H143" i="16"/>
  <c r="I143" i="16"/>
  <c r="J143" i="16"/>
  <c r="K143" i="16"/>
  <c r="L143" i="16"/>
  <c r="M143" i="16"/>
  <c r="N143" i="16"/>
  <c r="O143" i="16"/>
  <c r="P143" i="16"/>
  <c r="Q143" i="16"/>
  <c r="R143" i="16"/>
  <c r="S143" i="16"/>
  <c r="T143" i="16"/>
  <c r="AK147" i="16"/>
  <c r="D159" i="16"/>
  <c r="E159" i="16"/>
  <c r="F159" i="16"/>
  <c r="G159" i="16"/>
  <c r="H159" i="16"/>
  <c r="I159" i="16"/>
  <c r="J159" i="16"/>
  <c r="K159" i="16"/>
  <c r="L159" i="16"/>
  <c r="M159" i="16"/>
  <c r="N159" i="16"/>
  <c r="O159" i="16"/>
  <c r="P159" i="16"/>
  <c r="Q159" i="16"/>
  <c r="R159" i="16"/>
  <c r="S159" i="16"/>
  <c r="T159" i="16"/>
  <c r="G110" i="16"/>
  <c r="D111" i="16"/>
  <c r="E111" i="16"/>
  <c r="F111" i="16"/>
  <c r="G111" i="16"/>
  <c r="W111" i="16"/>
  <c r="D112" i="16"/>
  <c r="E112" i="16"/>
  <c r="F112" i="16"/>
  <c r="G112" i="16"/>
  <c r="W112" i="16"/>
  <c r="W113" i="16"/>
  <c r="W114" i="16"/>
  <c r="G115" i="16"/>
  <c r="W115" i="16"/>
  <c r="D116" i="16"/>
  <c r="E116" i="16"/>
  <c r="F116" i="16"/>
  <c r="G116" i="16"/>
  <c r="D117" i="16"/>
  <c r="E117" i="16"/>
  <c r="F117" i="16"/>
  <c r="G117" i="16" s="1"/>
  <c r="D96" i="16"/>
  <c r="G98" i="16"/>
  <c r="D78" i="16"/>
  <c r="G80" i="16"/>
  <c r="U80" i="16"/>
  <c r="AI80" i="16"/>
  <c r="G81" i="16"/>
  <c r="U81" i="16"/>
  <c r="AI81" i="16"/>
  <c r="G82" i="16"/>
  <c r="U82" i="16"/>
  <c r="G83" i="16"/>
  <c r="U83" i="16"/>
  <c r="G84" i="16"/>
  <c r="U84" i="16"/>
  <c r="G85" i="16"/>
  <c r="AI86" i="16"/>
  <c r="C89" i="16"/>
  <c r="G89" i="16"/>
  <c r="U89" i="16"/>
  <c r="C90" i="16"/>
  <c r="G91" i="16"/>
  <c r="U91" i="16"/>
  <c r="D92" i="16"/>
  <c r="G92" i="16" s="1"/>
  <c r="E93" i="16"/>
  <c r="F93" i="16"/>
  <c r="L19" i="16"/>
  <c r="N19" i="16"/>
  <c r="V19" i="16"/>
  <c r="W19" i="16"/>
  <c r="X19" i="16"/>
  <c r="AE19" i="16"/>
  <c r="AF19" i="16"/>
  <c r="AJ19" i="16" s="1"/>
  <c r="AH19" i="16"/>
  <c r="AM19" i="16"/>
  <c r="L20" i="16"/>
  <c r="N20" i="16"/>
  <c r="V20" i="16"/>
  <c r="W20" i="16"/>
  <c r="X20" i="16"/>
  <c r="AE20" i="16"/>
  <c r="AF20" i="16"/>
  <c r="AG20" i="16" s="1"/>
  <c r="AM20" i="16"/>
  <c r="L21" i="16"/>
  <c r="AJ41" i="16" s="1"/>
  <c r="N21" i="16"/>
  <c r="V21" i="16"/>
  <c r="W21" i="16"/>
  <c r="X21" i="16"/>
  <c r="AE21" i="16"/>
  <c r="AF21" i="16"/>
  <c r="AG21" i="16" s="1"/>
  <c r="AJ21" i="16"/>
  <c r="BA21" i="16" s="1"/>
  <c r="AM21" i="16"/>
  <c r="L22" i="16"/>
  <c r="N22" i="16"/>
  <c r="V22" i="16"/>
  <c r="W22" i="16"/>
  <c r="X22" i="16"/>
  <c r="AE22" i="16"/>
  <c r="AF22" i="16"/>
  <c r="AJ22" i="16" s="1"/>
  <c r="AH22" i="16"/>
  <c r="AM22" i="16"/>
  <c r="L23" i="16"/>
  <c r="N23" i="16"/>
  <c r="V23" i="16"/>
  <c r="W23" i="16"/>
  <c r="X23" i="16"/>
  <c r="AE23" i="16"/>
  <c r="AF23" i="16"/>
  <c r="AG23" i="16" s="1"/>
  <c r="AM23" i="16"/>
  <c r="L24" i="16"/>
  <c r="N24" i="16"/>
  <c r="V24" i="16"/>
  <c r="W24" i="16"/>
  <c r="X24" i="16"/>
  <c r="AE24" i="16"/>
  <c r="AF24" i="16"/>
  <c r="AG24" i="16" s="1"/>
  <c r="AJ24" i="16"/>
  <c r="BA24" i="16" s="1"/>
  <c r="AM24" i="16"/>
  <c r="V25" i="16"/>
  <c r="W25" i="16"/>
  <c r="X25" i="16"/>
  <c r="AN25" i="16"/>
  <c r="AO25" i="16"/>
  <c r="AP25" i="16"/>
  <c r="AQ25" i="16"/>
  <c r="AR25" i="16"/>
  <c r="AS25" i="16"/>
  <c r="V81" i="16" s="1"/>
  <c r="AT25" i="16"/>
  <c r="AU25" i="16"/>
  <c r="AV25" i="16"/>
  <c r="AW25" i="16"/>
  <c r="V26" i="16"/>
  <c r="W26" i="16"/>
  <c r="X26" i="16"/>
  <c r="V27" i="16"/>
  <c r="W27" i="16"/>
  <c r="X27" i="16"/>
  <c r="AX28" i="16"/>
  <c r="AX29" i="16" s="1"/>
  <c r="AX31" i="16" s="1"/>
  <c r="AY28" i="16"/>
  <c r="AZ28" i="16"/>
  <c r="V29" i="16"/>
  <c r="W29" i="16"/>
  <c r="X29" i="16"/>
  <c r="V30" i="16"/>
  <c r="AX30" i="16"/>
  <c r="AZ30" i="16"/>
  <c r="AZ31" i="16"/>
  <c r="AF35" i="16"/>
  <c r="AE36" i="16"/>
  <c r="AF36" i="16"/>
  <c r="D90" i="16" s="1"/>
  <c r="G90" i="16" s="1"/>
  <c r="AM36" i="16"/>
  <c r="AE37" i="16"/>
  <c r="AF37" i="16"/>
  <c r="AE38" i="16"/>
  <c r="AF38" i="16"/>
  <c r="AN38" i="16"/>
  <c r="AO38" i="16"/>
  <c r="AP38" i="16"/>
  <c r="AQ38" i="16"/>
  <c r="AR38" i="16"/>
  <c r="AR49" i="16" s="1"/>
  <c r="AR50" i="16" s="1"/>
  <c r="AS38" i="16"/>
  <c r="AT38" i="16"/>
  <c r="AE39" i="16"/>
  <c r="AF39" i="16"/>
  <c r="AN39" i="16"/>
  <c r="AO39" i="16"/>
  <c r="AP39" i="16"/>
  <c r="AQ39" i="16"/>
  <c r="AR39" i="16"/>
  <c r="AS39" i="16"/>
  <c r="AS49" i="16" s="1"/>
  <c r="AS50" i="16" s="1"/>
  <c r="AT39" i="16"/>
  <c r="AT49" i="16" s="1"/>
  <c r="AT50" i="16" s="1"/>
  <c r="V40" i="16"/>
  <c r="Y40" i="16"/>
  <c r="AF40" i="16"/>
  <c r="AN40" i="16"/>
  <c r="AO40" i="16"/>
  <c r="AP40" i="16"/>
  <c r="AQ40" i="16"/>
  <c r="AR40" i="16"/>
  <c r="AS40" i="16"/>
  <c r="AT40" i="16"/>
  <c r="AN41" i="16"/>
  <c r="AO41" i="16"/>
  <c r="AP41" i="16"/>
  <c r="AQ41" i="16"/>
  <c r="AR41" i="16"/>
  <c r="AS41" i="16"/>
  <c r="AT41" i="16"/>
  <c r="AN42" i="16"/>
  <c r="AO42" i="16"/>
  <c r="AO49" i="16" s="1"/>
  <c r="AO50" i="16" s="1"/>
  <c r="AP42" i="16"/>
  <c r="AQ42" i="16"/>
  <c r="AR42" i="16"/>
  <c r="AS42" i="16"/>
  <c r="AT42" i="16"/>
  <c r="AN43" i="16"/>
  <c r="AO43" i="16"/>
  <c r="AP43" i="16"/>
  <c r="AQ43" i="16"/>
  <c r="AR43" i="16"/>
  <c r="AS43" i="16"/>
  <c r="AT43" i="16"/>
  <c r="AE44" i="16"/>
  <c r="AN44" i="16"/>
  <c r="AO44" i="16"/>
  <c r="AP44" i="16"/>
  <c r="AQ44" i="16"/>
  <c r="AR44" i="16"/>
  <c r="AS44" i="16"/>
  <c r="AT44" i="16"/>
  <c r="C45" i="16"/>
  <c r="AE45" i="16"/>
  <c r="AN45" i="16"/>
  <c r="AO45" i="16"/>
  <c r="AP45" i="16"/>
  <c r="AP49" i="16" s="1"/>
  <c r="AP50" i="16" s="1"/>
  <c r="AQ45" i="16"/>
  <c r="AR45" i="16"/>
  <c r="AS45" i="16"/>
  <c r="AT45" i="16"/>
  <c r="C46" i="16"/>
  <c r="V46" i="16"/>
  <c r="AE46" i="16"/>
  <c r="AJ46" i="16"/>
  <c r="AN46" i="16"/>
  <c r="AO46" i="16"/>
  <c r="AP46" i="16"/>
  <c r="AQ46" i="16"/>
  <c r="AR46" i="16"/>
  <c r="AS46" i="16"/>
  <c r="AT46" i="16"/>
  <c r="AE47" i="16"/>
  <c r="AN47" i="16"/>
  <c r="AO47" i="16"/>
  <c r="AP47" i="16"/>
  <c r="AQ47" i="16"/>
  <c r="AR47" i="16"/>
  <c r="AS47" i="16"/>
  <c r="AT47" i="16"/>
  <c r="AE48" i="16"/>
  <c r="D87" i="16" s="1"/>
  <c r="G87" i="16" s="1"/>
  <c r="AN48" i="16"/>
  <c r="AO48" i="16"/>
  <c r="AP48" i="16"/>
  <c r="AQ48" i="16"/>
  <c r="AR48" i="16"/>
  <c r="AS48" i="16"/>
  <c r="AT48" i="16"/>
  <c r="AE51" i="16"/>
  <c r="AE52" i="16"/>
  <c r="Z53" i="16"/>
  <c r="AE53" i="16"/>
  <c r="Z54" i="16"/>
  <c r="AE54" i="16"/>
  <c r="Z55" i="16"/>
  <c r="AE55" i="16"/>
  <c r="Z56" i="16"/>
  <c r="AE56" i="16"/>
  <c r="AE57" i="16"/>
  <c r="AE58" i="16"/>
  <c r="D88" i="16" s="1"/>
  <c r="G88" i="16" s="1"/>
  <c r="W59" i="16"/>
  <c r="W62" i="16"/>
  <c r="AI63" i="16"/>
  <c r="X67" i="16"/>
  <c r="X69" i="16" s="1"/>
  <c r="V86" i="16" s="1"/>
  <c r="Y67" i="16"/>
  <c r="X68" i="16"/>
  <c r="Y68" i="16"/>
  <c r="Y69" i="16" s="1"/>
  <c r="D86" i="16" s="1"/>
  <c r="AB5" i="16"/>
  <c r="AC5" i="16"/>
  <c r="AB6" i="16"/>
  <c r="L37" i="3" s="1"/>
  <c r="AC6" i="16"/>
  <c r="AB7" i="16"/>
  <c r="AC7" i="16"/>
  <c r="AB8" i="16"/>
  <c r="AC8" i="16"/>
  <c r="AB9" i="16"/>
  <c r="AC9" i="16"/>
  <c r="D143" i="15"/>
  <c r="E143" i="15"/>
  <c r="F143" i="15"/>
  <c r="G143" i="15"/>
  <c r="H143" i="15"/>
  <c r="I143" i="15"/>
  <c r="J143" i="15"/>
  <c r="K143" i="15"/>
  <c r="L143" i="15"/>
  <c r="M143" i="15"/>
  <c r="N143" i="15"/>
  <c r="O143" i="15"/>
  <c r="P143" i="15"/>
  <c r="Q143" i="15"/>
  <c r="R143" i="15"/>
  <c r="S143" i="15"/>
  <c r="T143" i="15"/>
  <c r="AK147" i="15"/>
  <c r="D159" i="15"/>
  <c r="E159" i="15"/>
  <c r="F159" i="15"/>
  <c r="G159" i="15"/>
  <c r="H159" i="15"/>
  <c r="I159" i="15"/>
  <c r="J159" i="15"/>
  <c r="K159" i="15"/>
  <c r="L159" i="15"/>
  <c r="M159" i="15"/>
  <c r="N159" i="15"/>
  <c r="O159" i="15"/>
  <c r="P159" i="15"/>
  <c r="Q159" i="15"/>
  <c r="R159" i="15"/>
  <c r="S159" i="15"/>
  <c r="T159" i="15"/>
  <c r="G110" i="15"/>
  <c r="D111" i="15"/>
  <c r="E111" i="15"/>
  <c r="F111" i="15"/>
  <c r="W111" i="15"/>
  <c r="D112" i="15"/>
  <c r="E112" i="15"/>
  <c r="F112" i="15"/>
  <c r="W112" i="15"/>
  <c r="W113" i="15"/>
  <c r="W114" i="15"/>
  <c r="G115" i="15"/>
  <c r="W115" i="15"/>
  <c r="D116" i="15"/>
  <c r="E116" i="15"/>
  <c r="F116" i="15"/>
  <c r="D117" i="15"/>
  <c r="E117" i="15"/>
  <c r="F117" i="15"/>
  <c r="G98" i="15"/>
  <c r="D78" i="15"/>
  <c r="D96" i="15" s="1"/>
  <c r="G80" i="15"/>
  <c r="U80" i="15"/>
  <c r="AI80" i="15"/>
  <c r="G81" i="15"/>
  <c r="U81" i="15"/>
  <c r="AI81" i="15"/>
  <c r="G82" i="15"/>
  <c r="U82" i="15"/>
  <c r="G83" i="15"/>
  <c r="U83" i="15"/>
  <c r="G84" i="15"/>
  <c r="U84" i="15"/>
  <c r="G85" i="15"/>
  <c r="AI86" i="15"/>
  <c r="D87" i="15"/>
  <c r="G87" i="15" s="1"/>
  <c r="C89" i="15"/>
  <c r="G89" i="15"/>
  <c r="U89" i="15"/>
  <c r="C90" i="15"/>
  <c r="G91" i="15"/>
  <c r="U91" i="15"/>
  <c r="G92" i="15"/>
  <c r="E93" i="15"/>
  <c r="F93" i="15"/>
  <c r="L19" i="15"/>
  <c r="N19" i="15"/>
  <c r="V19" i="15"/>
  <c r="W19" i="15"/>
  <c r="X19" i="15"/>
  <c r="AE19" i="15"/>
  <c r="AF19" i="15"/>
  <c r="AG19" i="15" s="1"/>
  <c r="AH19" i="15"/>
  <c r="AT19" i="15" s="1"/>
  <c r="AK19" i="15"/>
  <c r="AW19" i="15" s="1"/>
  <c r="AM19" i="15"/>
  <c r="AO19" i="15"/>
  <c r="L20" i="15"/>
  <c r="N20" i="15"/>
  <c r="V20" i="15"/>
  <c r="W20" i="15"/>
  <c r="X20" i="15"/>
  <c r="AE20" i="15"/>
  <c r="AF20" i="15"/>
  <c r="AG20" i="15"/>
  <c r="AS20" i="15" s="1"/>
  <c r="AH20" i="15"/>
  <c r="AO20" i="15" s="1"/>
  <c r="AI20" i="15"/>
  <c r="AP20" i="15" s="1"/>
  <c r="AJ20" i="15"/>
  <c r="BA20" i="15" s="1"/>
  <c r="AK20" i="15"/>
  <c r="BB20" i="15" s="1"/>
  <c r="AM20" i="15"/>
  <c r="AY20" i="15"/>
  <c r="L21" i="15"/>
  <c r="N21" i="15"/>
  <c r="V21" i="15"/>
  <c r="W21" i="15"/>
  <c r="X21" i="15"/>
  <c r="AE21" i="15"/>
  <c r="AF21" i="15"/>
  <c r="AJ21" i="15" s="1"/>
  <c r="AH21" i="15"/>
  <c r="AM21" i="15"/>
  <c r="L22" i="15"/>
  <c r="N22" i="15"/>
  <c r="V22" i="15"/>
  <c r="W22" i="15"/>
  <c r="X22" i="15"/>
  <c r="AE22" i="15"/>
  <c r="AF22" i="15"/>
  <c r="AG22" i="15" s="1"/>
  <c r="AH22" i="15"/>
  <c r="AT22" i="15" s="1"/>
  <c r="AK22" i="15"/>
  <c r="AW22" i="15" s="1"/>
  <c r="AM22" i="15"/>
  <c r="AO22" i="15"/>
  <c r="L23" i="15"/>
  <c r="N23" i="15"/>
  <c r="V23" i="15"/>
  <c r="W23" i="15"/>
  <c r="X23" i="15"/>
  <c r="AE23" i="15"/>
  <c r="AF23" i="15"/>
  <c r="AG23" i="15"/>
  <c r="AS23" i="15" s="1"/>
  <c r="AH23" i="15"/>
  <c r="AO23" i="15" s="1"/>
  <c r="AI23" i="15"/>
  <c r="AP23" i="15" s="1"/>
  <c r="AJ23" i="15"/>
  <c r="BA23" i="15" s="1"/>
  <c r="AK23" i="15"/>
  <c r="BB23" i="15" s="1"/>
  <c r="AM23" i="15"/>
  <c r="AT23" i="15"/>
  <c r="AW23" i="15"/>
  <c r="AY23" i="15"/>
  <c r="L24" i="15"/>
  <c r="N24" i="15"/>
  <c r="V24" i="15"/>
  <c r="W24" i="15"/>
  <c r="X24" i="15"/>
  <c r="AE24" i="15"/>
  <c r="AF24" i="15"/>
  <c r="AJ24" i="15" s="1"/>
  <c r="AH24" i="15"/>
  <c r="AM24" i="15"/>
  <c r="V25" i="15"/>
  <c r="W25" i="15"/>
  <c r="X25" i="15"/>
  <c r="AN25" i="15"/>
  <c r="AO25" i="15"/>
  <c r="V81" i="15" s="1"/>
  <c r="AP25" i="15"/>
  <c r="AQ25" i="15"/>
  <c r="AR25" i="15"/>
  <c r="AS25" i="15"/>
  <c r="AT25" i="15"/>
  <c r="AU25" i="15"/>
  <c r="AV25" i="15"/>
  <c r="AW25" i="15"/>
  <c r="V26" i="15"/>
  <c r="W26" i="15"/>
  <c r="X26" i="15"/>
  <c r="V27" i="15"/>
  <c r="W27" i="15"/>
  <c r="X27" i="15"/>
  <c r="AX28" i="15"/>
  <c r="AX29" i="15" s="1"/>
  <c r="AX31" i="15" s="1"/>
  <c r="AY28" i="15"/>
  <c r="AZ28" i="15"/>
  <c r="V29" i="15"/>
  <c r="W29" i="15"/>
  <c r="X29" i="15"/>
  <c r="V30" i="15"/>
  <c r="AX30" i="15"/>
  <c r="AZ30" i="15"/>
  <c r="AZ31" i="15"/>
  <c r="AF35" i="15"/>
  <c r="AE36" i="15"/>
  <c r="AM36" i="15"/>
  <c r="AE37" i="15"/>
  <c r="AE38" i="15"/>
  <c r="AN38" i="15"/>
  <c r="AE39" i="15"/>
  <c r="AN39" i="15"/>
  <c r="AO39" i="15"/>
  <c r="AP39" i="15"/>
  <c r="AQ39" i="15"/>
  <c r="AR39" i="15"/>
  <c r="AS39" i="15"/>
  <c r="AT39" i="15"/>
  <c r="V40" i="15"/>
  <c r="Y40" i="15"/>
  <c r="AF40" i="15"/>
  <c r="D92" i="15" s="1"/>
  <c r="AN40" i="15"/>
  <c r="AO40" i="15"/>
  <c r="AP40" i="15"/>
  <c r="AQ40" i="15"/>
  <c r="AR40" i="15"/>
  <c r="AS40" i="15"/>
  <c r="AT40" i="15"/>
  <c r="AN41" i="15"/>
  <c r="AO41" i="15"/>
  <c r="AP41" i="15"/>
  <c r="AQ41" i="15"/>
  <c r="AR41" i="15"/>
  <c r="AS41" i="15"/>
  <c r="AT41" i="15"/>
  <c r="AN42" i="15"/>
  <c r="AO42" i="15"/>
  <c r="AP42" i="15"/>
  <c r="AQ42" i="15"/>
  <c r="AR42" i="15"/>
  <c r="AS42" i="15"/>
  <c r="AT42" i="15"/>
  <c r="AN43" i="15"/>
  <c r="AO43" i="15"/>
  <c r="AP43" i="15"/>
  <c r="AQ43" i="15"/>
  <c r="AR43" i="15"/>
  <c r="AS43" i="15"/>
  <c r="AT43" i="15"/>
  <c r="AE44" i="15"/>
  <c r="AN44" i="15"/>
  <c r="AO44" i="15" s="1"/>
  <c r="AP44" i="15"/>
  <c r="AQ44" i="15"/>
  <c r="AR44" i="15"/>
  <c r="AS44" i="15"/>
  <c r="AT44" i="15"/>
  <c r="C45" i="15"/>
  <c r="AE45" i="15"/>
  <c r="AN45" i="15"/>
  <c r="AO45" i="15"/>
  <c r="AP45" i="15"/>
  <c r="AQ45" i="15"/>
  <c r="AR45" i="15"/>
  <c r="AS45" i="15"/>
  <c r="AT45" i="15"/>
  <c r="C46" i="15"/>
  <c r="V46" i="15"/>
  <c r="AE46" i="15"/>
  <c r="AJ46" i="15"/>
  <c r="AN46" i="15"/>
  <c r="AO46" i="15"/>
  <c r="AP46" i="15"/>
  <c r="AQ46" i="15"/>
  <c r="AR46" i="15"/>
  <c r="AS46" i="15"/>
  <c r="AT46" i="15"/>
  <c r="AE47" i="15"/>
  <c r="AN47" i="15"/>
  <c r="AS47" i="15" s="1"/>
  <c r="AQ47" i="15"/>
  <c r="AE48" i="15"/>
  <c r="AN48" i="15"/>
  <c r="AO48" i="15"/>
  <c r="AP48" i="15"/>
  <c r="AQ48" i="15"/>
  <c r="AR48" i="15"/>
  <c r="AS48" i="15"/>
  <c r="AT48" i="15"/>
  <c r="AE51" i="15"/>
  <c r="AE52" i="15"/>
  <c r="AE53" i="15"/>
  <c r="AE54" i="15"/>
  <c r="AE55" i="15"/>
  <c r="Z56" i="15"/>
  <c r="AE56" i="15"/>
  <c r="AE57" i="15"/>
  <c r="AE58" i="15" s="1"/>
  <c r="D88" i="15" s="1"/>
  <c r="G88" i="15" s="1"/>
  <c r="W59" i="15"/>
  <c r="Z55" i="15" s="1"/>
  <c r="W62" i="15"/>
  <c r="AI63" i="15"/>
  <c r="AB5" i="15"/>
  <c r="AC5" i="15"/>
  <c r="AB6" i="15"/>
  <c r="AC6" i="15"/>
  <c r="K37" i="3" s="1"/>
  <c r="AB7" i="15"/>
  <c r="AC7" i="15"/>
  <c r="K38" i="3" s="1"/>
  <c r="AB8" i="15"/>
  <c r="J39" i="3" s="1"/>
  <c r="AC8" i="15"/>
  <c r="K39" i="3" s="1"/>
  <c r="AB9" i="15"/>
  <c r="AC9" i="15"/>
  <c r="D143" i="14"/>
  <c r="E143" i="14"/>
  <c r="F143" i="14"/>
  <c r="G143" i="14"/>
  <c r="H143" i="14"/>
  <c r="I143" i="14"/>
  <c r="J143" i="14"/>
  <c r="K143" i="14"/>
  <c r="L143" i="14"/>
  <c r="M143" i="14"/>
  <c r="N143" i="14"/>
  <c r="O143" i="14"/>
  <c r="P143" i="14"/>
  <c r="Q143" i="14"/>
  <c r="R143" i="14"/>
  <c r="S143" i="14"/>
  <c r="T143" i="14"/>
  <c r="AK147" i="14"/>
  <c r="D159" i="14"/>
  <c r="E159" i="14"/>
  <c r="F159" i="14"/>
  <c r="G159" i="14"/>
  <c r="H159" i="14"/>
  <c r="I159" i="14"/>
  <c r="J159" i="14"/>
  <c r="K159" i="14"/>
  <c r="L159" i="14"/>
  <c r="M159" i="14"/>
  <c r="N159" i="14"/>
  <c r="O159" i="14"/>
  <c r="P159" i="14"/>
  <c r="Q159" i="14"/>
  <c r="R159" i="14"/>
  <c r="S159" i="14"/>
  <c r="T159" i="14"/>
  <c r="G110" i="14"/>
  <c r="D111" i="14"/>
  <c r="D116" i="14" s="1"/>
  <c r="E111" i="14"/>
  <c r="F111" i="14"/>
  <c r="W111" i="14"/>
  <c r="D112" i="14"/>
  <c r="D117" i="14" s="1"/>
  <c r="E112" i="14"/>
  <c r="F112" i="14"/>
  <c r="W112" i="14"/>
  <c r="G112" i="14" s="1"/>
  <c r="W113" i="14"/>
  <c r="W114" i="14"/>
  <c r="G115" i="14"/>
  <c r="W115" i="14"/>
  <c r="E116" i="14"/>
  <c r="F116" i="14"/>
  <c r="E117" i="14"/>
  <c r="F117" i="14"/>
  <c r="G98" i="14"/>
  <c r="H24" i="3" s="1"/>
  <c r="D78" i="14"/>
  <c r="D96" i="14" s="1"/>
  <c r="G80" i="14"/>
  <c r="U80" i="14"/>
  <c r="AI80" i="14"/>
  <c r="G81" i="14"/>
  <c r="AI81" i="14" s="1"/>
  <c r="G82" i="14"/>
  <c r="G83" i="14"/>
  <c r="U83" i="14"/>
  <c r="G84" i="14"/>
  <c r="G85" i="14"/>
  <c r="AI86" i="14"/>
  <c r="C89" i="14"/>
  <c r="G89" i="14"/>
  <c r="U89" i="14" s="1"/>
  <c r="C90" i="14"/>
  <c r="G91" i="14"/>
  <c r="U91" i="14"/>
  <c r="E93" i="14"/>
  <c r="F93" i="14"/>
  <c r="L19" i="14"/>
  <c r="AJ41" i="14" s="1"/>
  <c r="N19" i="14"/>
  <c r="V19" i="14"/>
  <c r="W19" i="14"/>
  <c r="X19" i="14"/>
  <c r="AE19" i="14"/>
  <c r="AF19" i="14" s="1"/>
  <c r="AG19" i="14"/>
  <c r="AH19" i="14"/>
  <c r="AO19" i="14" s="1"/>
  <c r="AI19" i="14"/>
  <c r="AU19" i="14" s="1"/>
  <c r="AM19" i="14"/>
  <c r="AT19" i="14"/>
  <c r="L20" i="14"/>
  <c r="N20" i="14"/>
  <c r="V20" i="14"/>
  <c r="W20" i="14"/>
  <c r="X20" i="14"/>
  <c r="AE20" i="14"/>
  <c r="AF20" i="14" s="1"/>
  <c r="AH20" i="14" s="1"/>
  <c r="L21" i="14"/>
  <c r="N21" i="14"/>
  <c r="V21" i="14"/>
  <c r="W21" i="14"/>
  <c r="X21" i="14"/>
  <c r="AE21" i="14"/>
  <c r="AF21" i="14" s="1"/>
  <c r="AH21" i="14"/>
  <c r="AT21" i="14" s="1"/>
  <c r="AK21" i="14"/>
  <c r="AM21" i="14"/>
  <c r="L22" i="14"/>
  <c r="N22" i="14"/>
  <c r="V22" i="14"/>
  <c r="W22" i="14"/>
  <c r="X22" i="14"/>
  <c r="AE22" i="14"/>
  <c r="AF22" i="14" s="1"/>
  <c r="AK22" i="14" s="1"/>
  <c r="AW22" i="14" s="1"/>
  <c r="AH22" i="14"/>
  <c r="AO22" i="14" s="1"/>
  <c r="AI22" i="14"/>
  <c r="AJ22" i="14"/>
  <c r="BA22" i="14" s="1"/>
  <c r="AM22" i="14"/>
  <c r="AT22" i="14"/>
  <c r="AU22" i="14"/>
  <c r="AV22" i="14"/>
  <c r="L23" i="14"/>
  <c r="N23" i="14"/>
  <c r="V23" i="14"/>
  <c r="W23" i="14"/>
  <c r="X23" i="14"/>
  <c r="AE23" i="14"/>
  <c r="AF23" i="14" s="1"/>
  <c r="AM23" i="14"/>
  <c r="L24" i="14"/>
  <c r="N24" i="14"/>
  <c r="X24" i="14" s="1"/>
  <c r="V24" i="14"/>
  <c r="W24" i="14"/>
  <c r="AE24" i="14"/>
  <c r="AF24" i="14" s="1"/>
  <c r="AH24" i="14"/>
  <c r="AT24" i="14" s="1"/>
  <c r="AI24" i="14"/>
  <c r="AZ24" i="14" s="1"/>
  <c r="AK24" i="14"/>
  <c r="AM24" i="14"/>
  <c r="BB24" i="14"/>
  <c r="V25" i="14"/>
  <c r="W25" i="14"/>
  <c r="X25" i="14"/>
  <c r="AN25" i="14"/>
  <c r="AO25" i="14"/>
  <c r="AP25" i="14"/>
  <c r="AQ25" i="14"/>
  <c r="AR25" i="14"/>
  <c r="AS25" i="14"/>
  <c r="AT25" i="14"/>
  <c r="AU25" i="14"/>
  <c r="AV25" i="14"/>
  <c r="AW25" i="14"/>
  <c r="V26" i="14"/>
  <c r="W26" i="14"/>
  <c r="X26" i="14"/>
  <c r="V27" i="14"/>
  <c r="W27" i="14"/>
  <c r="X27" i="14"/>
  <c r="AX28" i="14"/>
  <c r="AX29" i="14" s="1"/>
  <c r="AX31" i="14" s="1"/>
  <c r="AX32" i="14" s="1"/>
  <c r="D99" i="14" s="1"/>
  <c r="AY28" i="14"/>
  <c r="AZ28" i="14"/>
  <c r="V29" i="14"/>
  <c r="W29" i="14"/>
  <c r="X29" i="14"/>
  <c r="V30" i="14"/>
  <c r="AX30" i="14"/>
  <c r="AZ30" i="14"/>
  <c r="AZ31" i="14"/>
  <c r="AF35" i="14"/>
  <c r="AF38" i="14" s="1"/>
  <c r="AE36" i="14"/>
  <c r="AF36" i="14"/>
  <c r="AM36" i="14"/>
  <c r="AE37" i="14"/>
  <c r="AF37" i="14"/>
  <c r="AJ37" i="14"/>
  <c r="AE38" i="14"/>
  <c r="AN38" i="14"/>
  <c r="AP38" i="14" s="1"/>
  <c r="AO38" i="14"/>
  <c r="AQ38" i="14"/>
  <c r="AR38" i="14"/>
  <c r="AS38" i="14"/>
  <c r="AT38" i="14"/>
  <c r="AE39" i="14"/>
  <c r="AF39" i="14"/>
  <c r="AN39" i="14"/>
  <c r="AO39" i="14" s="1"/>
  <c r="AP39" i="14"/>
  <c r="AQ39" i="14"/>
  <c r="AS39" i="14"/>
  <c r="AT39" i="14"/>
  <c r="V40" i="14"/>
  <c r="Y40" i="14"/>
  <c r="AF40" i="14"/>
  <c r="D92" i="14" s="1"/>
  <c r="G92" i="14" s="1"/>
  <c r="AN40" i="14"/>
  <c r="AO40" i="14" s="1"/>
  <c r="AT40" i="14"/>
  <c r="AN41" i="14"/>
  <c r="AT41" i="14" s="1"/>
  <c r="AO41" i="14"/>
  <c r="AP41" i="14"/>
  <c r="AQ41" i="14"/>
  <c r="AR41" i="14"/>
  <c r="AS41" i="14"/>
  <c r="AN42" i="14"/>
  <c r="AO42" i="14" s="1"/>
  <c r="AQ42" i="14"/>
  <c r="AR42" i="14"/>
  <c r="AN43" i="14"/>
  <c r="AO43" i="14"/>
  <c r="AQ43" i="14"/>
  <c r="AR43" i="14"/>
  <c r="AT43" i="14"/>
  <c r="AE44" i="14"/>
  <c r="AE48" i="14" s="1"/>
  <c r="D87" i="14" s="1"/>
  <c r="G87" i="14" s="1"/>
  <c r="AN44" i="14"/>
  <c r="AT44" i="14" s="1"/>
  <c r="AO44" i="14"/>
  <c r="AP44" i="14"/>
  <c r="C45" i="14"/>
  <c r="AE45" i="14"/>
  <c r="AN45" i="14"/>
  <c r="AO45" i="14"/>
  <c r="AP45" i="14"/>
  <c r="AQ45" i="14"/>
  <c r="AR45" i="14"/>
  <c r="AS45" i="14"/>
  <c r="AT45" i="14"/>
  <c r="C46" i="14"/>
  <c r="V46" i="14"/>
  <c r="AE46" i="14"/>
  <c r="AJ46" i="14"/>
  <c r="AN46" i="14"/>
  <c r="AO46" i="14" s="1"/>
  <c r="AP46" i="14"/>
  <c r="AQ46" i="14"/>
  <c r="AR46" i="14"/>
  <c r="AS46" i="14"/>
  <c r="AT46" i="14"/>
  <c r="AE47" i="14"/>
  <c r="AN47" i="14"/>
  <c r="AP47" i="14" s="1"/>
  <c r="AT47" i="14"/>
  <c r="AN48" i="14"/>
  <c r="AS48" i="14" s="1"/>
  <c r="AQ48" i="14"/>
  <c r="AE51" i="14"/>
  <c r="AE58" i="14" s="1"/>
  <c r="D88" i="14" s="1"/>
  <c r="G88" i="14" s="1"/>
  <c r="AE52" i="14"/>
  <c r="Z53" i="14"/>
  <c r="AE53" i="14"/>
  <c r="Z54" i="14"/>
  <c r="AE54" i="14"/>
  <c r="Z55" i="14"/>
  <c r="AE55" i="14"/>
  <c r="Z56" i="14"/>
  <c r="AE56" i="14"/>
  <c r="AE57" i="14"/>
  <c r="W59" i="14"/>
  <c r="W62" i="14"/>
  <c r="AI63" i="14"/>
  <c r="X67" i="14"/>
  <c r="Y67" i="14"/>
  <c r="X68" i="14"/>
  <c r="Y68" i="14"/>
  <c r="X69" i="14"/>
  <c r="V86" i="14" s="1"/>
  <c r="Y69" i="14"/>
  <c r="D86" i="14" s="1"/>
  <c r="AB5" i="14"/>
  <c r="H36" i="3" s="1"/>
  <c r="AC5" i="14"/>
  <c r="I36" i="3" s="1"/>
  <c r="AB6" i="14"/>
  <c r="H37" i="3" s="1"/>
  <c r="AC6" i="14"/>
  <c r="I37" i="3" s="1"/>
  <c r="AB7" i="14"/>
  <c r="H38" i="3" s="1"/>
  <c r="AC7" i="14"/>
  <c r="I38" i="3" s="1"/>
  <c r="AB8" i="14"/>
  <c r="H39" i="3" s="1"/>
  <c r="AC8" i="14"/>
  <c r="I39" i="3" s="1"/>
  <c r="AB9" i="14"/>
  <c r="AC9" i="14"/>
  <c r="I40" i="3" s="1"/>
  <c r="AW20" i="15" l="1"/>
  <c r="AT20" i="15"/>
  <c r="AP24" i="14"/>
  <c r="AO24" i="14"/>
  <c r="D93" i="16"/>
  <c r="G93" i="16" s="1"/>
  <c r="H80" i="16" s="1"/>
  <c r="G86" i="16"/>
  <c r="AI54" i="16"/>
  <c r="AJ54" i="16"/>
  <c r="H20" i="3"/>
  <c r="AI85" i="14"/>
  <c r="U87" i="14"/>
  <c r="V87" i="14"/>
  <c r="AJ23" i="14"/>
  <c r="AK23" i="14"/>
  <c r="AI23" i="14"/>
  <c r="AG23" i="14"/>
  <c r="AH23" i="14"/>
  <c r="AI54" i="14"/>
  <c r="AJ54" i="14"/>
  <c r="G86" i="14"/>
  <c r="AX32" i="16"/>
  <c r="D99" i="16" s="1"/>
  <c r="AX33" i="16"/>
  <c r="AY33" i="16"/>
  <c r="AZ33" i="16"/>
  <c r="BA33" i="16"/>
  <c r="AO20" i="14"/>
  <c r="AT20" i="14"/>
  <c r="AY20" i="14"/>
  <c r="AJ42" i="14"/>
  <c r="AR48" i="14"/>
  <c r="AQ44" i="14"/>
  <c r="AS42" i="14"/>
  <c r="AU24" i="14"/>
  <c r="H17" i="3"/>
  <c r="AI82" i="14"/>
  <c r="AJ36" i="16"/>
  <c r="AI82" i="16"/>
  <c r="L17" i="3"/>
  <c r="AJ34" i="14"/>
  <c r="AJ38" i="14"/>
  <c r="AP48" i="14"/>
  <c r="AR40" i="14"/>
  <c r="BA33" i="14"/>
  <c r="AZ33" i="14"/>
  <c r="V81" i="14"/>
  <c r="AJ81" i="14" s="1"/>
  <c r="U81" i="14"/>
  <c r="H16" i="3"/>
  <c r="H81" i="14"/>
  <c r="AY24" i="15"/>
  <c r="AO24" i="15"/>
  <c r="AT24" i="15"/>
  <c r="U87" i="15"/>
  <c r="V87" i="15"/>
  <c r="J20" i="3"/>
  <c r="AI85" i="15"/>
  <c r="H81" i="16"/>
  <c r="AJ81" i="16"/>
  <c r="AK81" i="16" s="1"/>
  <c r="AS24" i="16"/>
  <c r="AX24" i="16"/>
  <c r="AN24" i="16"/>
  <c r="BA19" i="16"/>
  <c r="AQ19" i="16"/>
  <c r="AV19" i="16"/>
  <c r="AK81" i="14"/>
  <c r="AI84" i="16"/>
  <c r="L19" i="3"/>
  <c r="U90" i="16"/>
  <c r="AO48" i="14"/>
  <c r="AP42" i="14"/>
  <c r="AQ40" i="14"/>
  <c r="AJ39" i="14"/>
  <c r="AG21" i="14"/>
  <c r="AI21" i="14"/>
  <c r="AJ21" i="14"/>
  <c r="AM20" i="14"/>
  <c r="AF36" i="15"/>
  <c r="AF37" i="15"/>
  <c r="AF39" i="15"/>
  <c r="AF38" i="15"/>
  <c r="BA24" i="15"/>
  <c r="AQ24" i="15"/>
  <c r="AV24" i="15"/>
  <c r="AJ36" i="15"/>
  <c r="AJ41" i="15"/>
  <c r="AJ37" i="15"/>
  <c r="AJ40" i="15"/>
  <c r="AJ43" i="15"/>
  <c r="AJ39" i="15"/>
  <c r="AJ34" i="15"/>
  <c r="AJ38" i="15"/>
  <c r="AJ35" i="15"/>
  <c r="AY19" i="16"/>
  <c r="AO19" i="16"/>
  <c r="AT19" i="16"/>
  <c r="AQ22" i="14"/>
  <c r="AI83" i="14"/>
  <c r="H18" i="3"/>
  <c r="U84" i="14"/>
  <c r="AY21" i="15"/>
  <c r="AO21" i="15"/>
  <c r="V83" i="15" s="1"/>
  <c r="H83" i="15" s="1"/>
  <c r="AT21" i="15"/>
  <c r="AS20" i="16"/>
  <c r="AX20" i="16"/>
  <c r="AN20" i="16"/>
  <c r="AP40" i="14"/>
  <c r="AP49" i="14" s="1"/>
  <c r="AP50" i="14" s="1"/>
  <c r="AS40" i="14"/>
  <c r="AJ36" i="14"/>
  <c r="AJ20" i="14"/>
  <c r="AK20" i="14"/>
  <c r="AG20" i="14"/>
  <c r="AI20" i="14"/>
  <c r="AP19" i="14"/>
  <c r="AZ19" i="14"/>
  <c r="BA21" i="15"/>
  <c r="AQ21" i="15"/>
  <c r="AV21" i="15"/>
  <c r="D90" i="14"/>
  <c r="G90" i="14" s="1"/>
  <c r="AW24" i="14"/>
  <c r="AR24" i="14"/>
  <c r="AY21" i="14"/>
  <c r="J17" i="3"/>
  <c r="AI82" i="15"/>
  <c r="L20" i="3"/>
  <c r="AI85" i="16"/>
  <c r="U87" i="16"/>
  <c r="AQ49" i="16"/>
  <c r="AQ50" i="16" s="1"/>
  <c r="V90" i="16" s="1"/>
  <c r="AJ84" i="16" s="1"/>
  <c r="AP22" i="14"/>
  <c r="AZ22" i="14"/>
  <c r="AS19" i="14"/>
  <c r="AX19" i="14"/>
  <c r="AN19" i="14"/>
  <c r="H81" i="15"/>
  <c r="AJ81" i="15"/>
  <c r="AS22" i="15"/>
  <c r="AX22" i="15"/>
  <c r="AN22" i="15"/>
  <c r="AS21" i="16"/>
  <c r="AX21" i="16"/>
  <c r="AN21" i="16"/>
  <c r="AJ40" i="14"/>
  <c r="AJ35" i="14"/>
  <c r="AJ19" i="14"/>
  <c r="AK19" i="14"/>
  <c r="AJ42" i="15"/>
  <c r="AX32" i="15"/>
  <c r="D99" i="15" s="1"/>
  <c r="AX33" i="15"/>
  <c r="AY33" i="15"/>
  <c r="AZ33" i="15"/>
  <c r="BA33" i="15"/>
  <c r="AT26" i="15"/>
  <c r="AY22" i="16"/>
  <c r="AO22" i="16"/>
  <c r="AT22" i="16"/>
  <c r="V87" i="16"/>
  <c r="AJ37" i="16"/>
  <c r="AJ40" i="16"/>
  <c r="AJ43" i="16"/>
  <c r="AJ39" i="16"/>
  <c r="AJ34" i="16"/>
  <c r="AJ38" i="16"/>
  <c r="AJ42" i="16"/>
  <c r="AJ35" i="16"/>
  <c r="AP43" i="14"/>
  <c r="AS43" i="14"/>
  <c r="AY24" i="14"/>
  <c r="AG24" i="14"/>
  <c r="AJ24" i="14"/>
  <c r="AG22" i="14"/>
  <c r="AS19" i="15"/>
  <c r="AX19" i="15"/>
  <c r="AN19" i="15"/>
  <c r="BA22" i="16"/>
  <c r="AQ22" i="16"/>
  <c r="AV22" i="16"/>
  <c r="AW21" i="14"/>
  <c r="BB21" i="14"/>
  <c r="AR21" i="14"/>
  <c r="AS47" i="14"/>
  <c r="AJ43" i="14"/>
  <c r="AY33" i="14"/>
  <c r="BB22" i="14"/>
  <c r="AR22" i="14"/>
  <c r="AO21" i="14"/>
  <c r="U82" i="14"/>
  <c r="G117" i="14"/>
  <c r="AP38" i="15"/>
  <c r="AP49" i="15" s="1"/>
  <c r="AP50" i="15" s="1"/>
  <c r="AQ38" i="15"/>
  <c r="AQ49" i="15" s="1"/>
  <c r="AQ50" i="15" s="1"/>
  <c r="V90" i="15" s="1"/>
  <c r="AJ84" i="15" s="1"/>
  <c r="AR38" i="15"/>
  <c r="AS38" i="15"/>
  <c r="AS49" i="15" s="1"/>
  <c r="AS50" i="15" s="1"/>
  <c r="AT38" i="15"/>
  <c r="AO38" i="15"/>
  <c r="G112" i="15"/>
  <c r="G117" i="15"/>
  <c r="G111" i="15"/>
  <c r="G116" i="15"/>
  <c r="AR47" i="14"/>
  <c r="AQ47" i="14"/>
  <c r="AS44" i="14"/>
  <c r="AT48" i="14"/>
  <c r="AO47" i="14"/>
  <c r="AO49" i="14" s="1"/>
  <c r="AO50" i="14" s="1"/>
  <c r="AR44" i="14"/>
  <c r="AT42" i="14"/>
  <c r="AT49" i="14" s="1"/>
  <c r="AT50" i="14" s="1"/>
  <c r="AX33" i="14"/>
  <c r="AY22" i="14"/>
  <c r="AY19" i="14"/>
  <c r="G111" i="14"/>
  <c r="AK81" i="15"/>
  <c r="AS23" i="16"/>
  <c r="AX23" i="16"/>
  <c r="AN23" i="16"/>
  <c r="Z54" i="15"/>
  <c r="AR47" i="15"/>
  <c r="AI24" i="15"/>
  <c r="AZ23" i="15"/>
  <c r="AN23" i="15"/>
  <c r="AR22" i="15"/>
  <c r="AI21" i="15"/>
  <c r="AZ20" i="15"/>
  <c r="AN20" i="15"/>
  <c r="AR19" i="15"/>
  <c r="AI22" i="16"/>
  <c r="AI19" i="16"/>
  <c r="AP47" i="15"/>
  <c r="AG24" i="15"/>
  <c r="AX23" i="15"/>
  <c r="BB22" i="15"/>
  <c r="AG21" i="15"/>
  <c r="AX20" i="15"/>
  <c r="BB19" i="15"/>
  <c r="AK24" i="16"/>
  <c r="AG22" i="16"/>
  <c r="AK21" i="16"/>
  <c r="AG19" i="16"/>
  <c r="AO47" i="15"/>
  <c r="AV23" i="15"/>
  <c r="AV20" i="15"/>
  <c r="AV24" i="16"/>
  <c r="AI24" i="16"/>
  <c r="AV21" i="16"/>
  <c r="AI21" i="16"/>
  <c r="AU23" i="15"/>
  <c r="AY22" i="15"/>
  <c r="AU20" i="15"/>
  <c r="AY19" i="15"/>
  <c r="AH24" i="16"/>
  <c r="AH21" i="16"/>
  <c r="AK23" i="16"/>
  <c r="AK20" i="16"/>
  <c r="AR39" i="14"/>
  <c r="AJ22" i="15"/>
  <c r="AJ19" i="15"/>
  <c r="AJ23" i="16"/>
  <c r="AJ20" i="16"/>
  <c r="G116" i="14"/>
  <c r="AR23" i="15"/>
  <c r="AI22" i="15"/>
  <c r="AR20" i="15"/>
  <c r="AI19" i="15"/>
  <c r="AI23" i="16"/>
  <c r="AI20" i="16"/>
  <c r="AQ23" i="15"/>
  <c r="AQ20" i="15"/>
  <c r="AQ24" i="16"/>
  <c r="AH23" i="16"/>
  <c r="AQ21" i="16"/>
  <c r="AH20" i="16"/>
  <c r="AT47" i="15"/>
  <c r="AK24" i="15"/>
  <c r="AK21" i="15"/>
  <c r="AK22" i="16"/>
  <c r="AK19" i="16"/>
  <c r="AJ48" i="14" l="1"/>
  <c r="AI56" i="14" s="1"/>
  <c r="F99" i="16"/>
  <c r="G99" i="16" s="1"/>
  <c r="L25" i="3" s="1"/>
  <c r="AJ48" i="15"/>
  <c r="AI56" i="15" s="1"/>
  <c r="AJ48" i="16"/>
  <c r="AI58" i="16" s="1"/>
  <c r="AC42" i="3" s="1"/>
  <c r="BA23" i="14"/>
  <c r="AV23" i="14"/>
  <c r="AQ23" i="14"/>
  <c r="AX22" i="16"/>
  <c r="AN22" i="16"/>
  <c r="AS22" i="16"/>
  <c r="AT23" i="16"/>
  <c r="AY23" i="16"/>
  <c r="AO23" i="16"/>
  <c r="AV23" i="16"/>
  <c r="BA23" i="16"/>
  <c r="AQ23" i="16"/>
  <c r="AP21" i="16"/>
  <c r="AU21" i="16"/>
  <c r="AZ21" i="16"/>
  <c r="AI52" i="16"/>
  <c r="AJ52" i="16"/>
  <c r="D90" i="15"/>
  <c r="G90" i="15" s="1"/>
  <c r="AK84" i="16"/>
  <c r="AJ85" i="15"/>
  <c r="H87" i="15"/>
  <c r="H86" i="14"/>
  <c r="U86" i="14"/>
  <c r="U93" i="14" s="1"/>
  <c r="AK85" i="15"/>
  <c r="AV20" i="16"/>
  <c r="BA20" i="16"/>
  <c r="BA26" i="16" s="1"/>
  <c r="AQ20" i="16"/>
  <c r="AV19" i="15"/>
  <c r="BA19" i="15"/>
  <c r="AQ19" i="15"/>
  <c r="AX21" i="15"/>
  <c r="AX26" i="15" s="1"/>
  <c r="AN21" i="15"/>
  <c r="AS21" i="15"/>
  <c r="AI50" i="16"/>
  <c r="AJ50" i="16"/>
  <c r="AK85" i="16"/>
  <c r="D93" i="14"/>
  <c r="G93" i="14" s="1"/>
  <c r="H80" i="14" s="1"/>
  <c r="AJ85" i="14"/>
  <c r="H87" i="14"/>
  <c r="AJ51" i="14"/>
  <c r="AI51" i="14"/>
  <c r="F99" i="15"/>
  <c r="G99" i="15" s="1"/>
  <c r="J25" i="3" s="1"/>
  <c r="AI53" i="15"/>
  <c r="AJ53" i="15"/>
  <c r="AV26" i="16"/>
  <c r="AI52" i="14"/>
  <c r="AJ52" i="14"/>
  <c r="AJ55" i="14"/>
  <c r="AI55" i="14"/>
  <c r="AI50" i="15"/>
  <c r="AJ50" i="15"/>
  <c r="AP24" i="16"/>
  <c r="AU24" i="16"/>
  <c r="AZ24" i="16"/>
  <c r="AS26" i="15"/>
  <c r="AR49" i="14"/>
  <c r="AR50" i="14" s="1"/>
  <c r="AZ24" i="15"/>
  <c r="AP24" i="15"/>
  <c r="AU24" i="15"/>
  <c r="AV21" i="14"/>
  <c r="AQ21" i="14"/>
  <c r="BA21" i="14"/>
  <c r="V89" i="16"/>
  <c r="H89" i="16" s="1"/>
  <c r="AQ26" i="16"/>
  <c r="AI50" i="14"/>
  <c r="AJ50" i="14"/>
  <c r="AK85" i="14"/>
  <c r="AT20" i="16"/>
  <c r="AY20" i="16"/>
  <c r="AO20" i="16"/>
  <c r="AW20" i="16"/>
  <c r="BB20" i="16"/>
  <c r="AR20" i="16"/>
  <c r="AX24" i="15"/>
  <c r="AN24" i="15"/>
  <c r="AS24" i="15"/>
  <c r="AO26" i="15"/>
  <c r="F99" i="14"/>
  <c r="G99" i="14" s="1"/>
  <c r="H25" i="3" s="1"/>
  <c r="AO49" i="15"/>
  <c r="AO50" i="15" s="1"/>
  <c r="AS22" i="14"/>
  <c r="AX22" i="14"/>
  <c r="AN22" i="14"/>
  <c r="AI53" i="16"/>
  <c r="AJ53" i="16"/>
  <c r="AI55" i="15"/>
  <c r="AJ55" i="15"/>
  <c r="AI54" i="15"/>
  <c r="AJ54" i="15"/>
  <c r="AP21" i="14"/>
  <c r="AU21" i="14"/>
  <c r="AZ21" i="14"/>
  <c r="BA20" i="14"/>
  <c r="AV20" i="14"/>
  <c r="AQ20" i="14"/>
  <c r="AI52" i="15"/>
  <c r="AJ52" i="15"/>
  <c r="AU20" i="16"/>
  <c r="AZ20" i="16"/>
  <c r="AP20" i="16"/>
  <c r="AW23" i="16"/>
  <c r="BB23" i="16"/>
  <c r="AR23" i="16"/>
  <c r="AT49" i="15"/>
  <c r="AT50" i="15" s="1"/>
  <c r="AV24" i="14"/>
  <c r="BA24" i="14"/>
  <c r="AQ24" i="14"/>
  <c r="BB19" i="14"/>
  <c r="AR19" i="14"/>
  <c r="AW19" i="14"/>
  <c r="AI51" i="15"/>
  <c r="AJ51" i="15"/>
  <c r="AS21" i="14"/>
  <c r="AN21" i="14"/>
  <c r="AX21" i="14"/>
  <c r="BB24" i="16"/>
  <c r="AR24" i="16"/>
  <c r="AW24" i="16"/>
  <c r="AZ21" i="15"/>
  <c r="AP21" i="15"/>
  <c r="AU21" i="15"/>
  <c r="AV22" i="15"/>
  <c r="BA22" i="15"/>
  <c r="AQ22" i="15"/>
  <c r="AU23" i="16"/>
  <c r="AZ23" i="16"/>
  <c r="AP23" i="16"/>
  <c r="AU19" i="15"/>
  <c r="AZ19" i="15"/>
  <c r="AP19" i="15"/>
  <c r="AZ19" i="16"/>
  <c r="AP19" i="16"/>
  <c r="AU19" i="16"/>
  <c r="X67" i="15"/>
  <c r="Z53" i="15"/>
  <c r="X68" i="15"/>
  <c r="AS24" i="14"/>
  <c r="AX24" i="14"/>
  <c r="AN24" i="14"/>
  <c r="AJ85" i="16"/>
  <c r="H87" i="16"/>
  <c r="BA19" i="14"/>
  <c r="BA26" i="14" s="1"/>
  <c r="AQ19" i="14"/>
  <c r="AV19" i="14"/>
  <c r="AZ20" i="14"/>
  <c r="AU20" i="14"/>
  <c r="AP20" i="14"/>
  <c r="AJ51" i="16"/>
  <c r="AI51" i="16"/>
  <c r="H19" i="3"/>
  <c r="AI84" i="14"/>
  <c r="H90" i="14"/>
  <c r="U90" i="14"/>
  <c r="AI55" i="16"/>
  <c r="AJ55" i="16"/>
  <c r="AS49" i="14"/>
  <c r="AS50" i="14" s="1"/>
  <c r="AW19" i="16"/>
  <c r="BB19" i="16"/>
  <c r="AR19" i="16"/>
  <c r="AW22" i="16"/>
  <c r="BB22" i="16"/>
  <c r="AR22" i="16"/>
  <c r="AO21" i="16"/>
  <c r="AO26" i="16" s="1"/>
  <c r="AT21" i="16"/>
  <c r="AY21" i="16"/>
  <c r="AW21" i="15"/>
  <c r="BB21" i="15"/>
  <c r="BB26" i="15" s="1"/>
  <c r="AR21" i="15"/>
  <c r="AO24" i="16"/>
  <c r="AT24" i="16"/>
  <c r="AY24" i="16"/>
  <c r="AX19" i="16"/>
  <c r="AX26" i="16" s="1"/>
  <c r="AN19" i="16"/>
  <c r="AS19" i="16"/>
  <c r="AS26" i="16" s="1"/>
  <c r="AZ22" i="16"/>
  <c r="AP22" i="16"/>
  <c r="AU22" i="16"/>
  <c r="AR49" i="15"/>
  <c r="AR50" i="15" s="1"/>
  <c r="AX20" i="14"/>
  <c r="AN20" i="14"/>
  <c r="AS20" i="14"/>
  <c r="H90" i="16"/>
  <c r="AQ49" i="14"/>
  <c r="AQ50" i="14" s="1"/>
  <c r="V90" i="14" s="1"/>
  <c r="AJ84" i="14" s="1"/>
  <c r="AO23" i="14"/>
  <c r="AO26" i="14" s="1"/>
  <c r="AT23" i="14"/>
  <c r="AT26" i="14" s="1"/>
  <c r="AY23" i="14"/>
  <c r="AY26" i="14" s="1"/>
  <c r="AW23" i="14"/>
  <c r="AR23" i="14"/>
  <c r="BB23" i="14"/>
  <c r="AW24" i="15"/>
  <c r="BB24" i="15"/>
  <c r="AR24" i="15"/>
  <c r="V91" i="15" s="1"/>
  <c r="AU22" i="15"/>
  <c r="AZ22" i="15"/>
  <c r="AP22" i="15"/>
  <c r="AY26" i="15"/>
  <c r="BB21" i="16"/>
  <c r="AR21" i="16"/>
  <c r="AW21" i="16"/>
  <c r="AI53" i="14"/>
  <c r="AJ53" i="14"/>
  <c r="AW20" i="14"/>
  <c r="BB20" i="14"/>
  <c r="AR20" i="14"/>
  <c r="AX23" i="14"/>
  <c r="AS23" i="14"/>
  <c r="AN23" i="14"/>
  <c r="H86" i="16"/>
  <c r="U86" i="16"/>
  <c r="U93" i="16" s="1"/>
  <c r="L18" i="3"/>
  <c r="AI83" i="16"/>
  <c r="AI87" i="16" s="1"/>
  <c r="AP23" i="14"/>
  <c r="AU23" i="14"/>
  <c r="AZ23" i="14"/>
  <c r="AZ26" i="14" s="1"/>
  <c r="G38" i="3"/>
  <c r="F38" i="3"/>
  <c r="G37" i="3"/>
  <c r="F37" i="3"/>
  <c r="F24" i="3"/>
  <c r="F21" i="3"/>
  <c r="F20" i="3"/>
  <c r="F16" i="3"/>
  <c r="F15" i="3"/>
  <c r="C2" i="9"/>
  <c r="C107" i="9"/>
  <c r="AX61" i="6"/>
  <c r="AX62" i="6"/>
  <c r="AX63" i="6"/>
  <c r="AX64" i="6"/>
  <c r="C2" i="13"/>
  <c r="D143" i="13"/>
  <c r="E143" i="13"/>
  <c r="F143" i="13"/>
  <c r="G143" i="13"/>
  <c r="H143" i="13"/>
  <c r="I143" i="13"/>
  <c r="J143" i="13"/>
  <c r="K143" i="13"/>
  <c r="L143" i="13"/>
  <c r="M143" i="13"/>
  <c r="N143" i="13"/>
  <c r="O143" i="13"/>
  <c r="P143" i="13"/>
  <c r="Q143" i="13"/>
  <c r="R143" i="13"/>
  <c r="S143" i="13"/>
  <c r="T143" i="13"/>
  <c r="AK147" i="13"/>
  <c r="D159" i="13"/>
  <c r="E159" i="13"/>
  <c r="F159" i="13"/>
  <c r="G159" i="13"/>
  <c r="H159" i="13"/>
  <c r="I159" i="13"/>
  <c r="J159" i="13"/>
  <c r="K159" i="13"/>
  <c r="L159" i="13"/>
  <c r="M159" i="13"/>
  <c r="N159" i="13"/>
  <c r="O159" i="13"/>
  <c r="P159" i="13"/>
  <c r="Q159" i="13"/>
  <c r="R159" i="13"/>
  <c r="S159" i="13"/>
  <c r="T159" i="13"/>
  <c r="G110" i="13"/>
  <c r="D111" i="13"/>
  <c r="D116" i="13" s="1"/>
  <c r="E111" i="13"/>
  <c r="F111" i="13"/>
  <c r="W111" i="13"/>
  <c r="G111" i="13" s="1"/>
  <c r="D112" i="13"/>
  <c r="D117" i="13" s="1"/>
  <c r="E112" i="13"/>
  <c r="F112" i="13"/>
  <c r="W112" i="13"/>
  <c r="W113" i="13"/>
  <c r="W114" i="13"/>
  <c r="G115" i="13"/>
  <c r="W115" i="13"/>
  <c r="E116" i="13"/>
  <c r="F116" i="13"/>
  <c r="E117" i="13"/>
  <c r="F117" i="13"/>
  <c r="G98" i="13"/>
  <c r="D78" i="13"/>
  <c r="D96" i="13" s="1"/>
  <c r="G80" i="13"/>
  <c r="U80" i="13"/>
  <c r="AI80" i="13"/>
  <c r="G81" i="13"/>
  <c r="H81" i="13" s="1"/>
  <c r="AI81" i="13"/>
  <c r="AK81" i="13" s="1"/>
  <c r="G82" i="13"/>
  <c r="F17" i="3" s="1"/>
  <c r="U82" i="13"/>
  <c r="G83" i="13"/>
  <c r="U83" i="13"/>
  <c r="G84" i="13"/>
  <c r="F18" i="3" s="1"/>
  <c r="G85" i="13"/>
  <c r="C89" i="13"/>
  <c r="G89" i="13"/>
  <c r="C90" i="13"/>
  <c r="G91" i="13"/>
  <c r="E93" i="13"/>
  <c r="F93" i="13"/>
  <c r="L19" i="13"/>
  <c r="N19" i="13"/>
  <c r="V19" i="13"/>
  <c r="W19" i="13"/>
  <c r="X19" i="13"/>
  <c r="AE19" i="13"/>
  <c r="AF19" i="13" s="1"/>
  <c r="AM19" i="13"/>
  <c r="L20" i="13"/>
  <c r="AJ37" i="13" s="1"/>
  <c r="N20" i="13"/>
  <c r="X20" i="13" s="1"/>
  <c r="V20" i="13"/>
  <c r="W20" i="13"/>
  <c r="AE20" i="13"/>
  <c r="AM20" i="13" s="1"/>
  <c r="L21" i="13"/>
  <c r="N21" i="13"/>
  <c r="X21" i="13" s="1"/>
  <c r="V21" i="13"/>
  <c r="W21" i="13"/>
  <c r="AE21" i="13"/>
  <c r="AF21" i="13" s="1"/>
  <c r="AM21" i="13"/>
  <c r="L22" i="13"/>
  <c r="N22" i="13"/>
  <c r="V22" i="13"/>
  <c r="W22" i="13"/>
  <c r="X22" i="13"/>
  <c r="AE22" i="13"/>
  <c r="AF22" i="13" s="1"/>
  <c r="AM22" i="13"/>
  <c r="L23" i="13"/>
  <c r="N23" i="13"/>
  <c r="V23" i="13"/>
  <c r="W23" i="13"/>
  <c r="X23" i="13"/>
  <c r="AE23" i="13"/>
  <c r="AM23" i="13" s="1"/>
  <c r="L24" i="13"/>
  <c r="N24" i="13"/>
  <c r="X24" i="13" s="1"/>
  <c r="V24" i="13"/>
  <c r="W24" i="13"/>
  <c r="AE24" i="13"/>
  <c r="AF24" i="13" s="1"/>
  <c r="AM24" i="13"/>
  <c r="V25" i="13"/>
  <c r="W25" i="13"/>
  <c r="X25" i="13"/>
  <c r="AN25" i="13"/>
  <c r="V81" i="13" s="1"/>
  <c r="AJ81" i="13" s="1"/>
  <c r="AO25" i="13"/>
  <c r="AP25" i="13"/>
  <c r="AQ25" i="13"/>
  <c r="AR25" i="13"/>
  <c r="AS25" i="13"/>
  <c r="AT25" i="13"/>
  <c r="AU25" i="13"/>
  <c r="AV25" i="13"/>
  <c r="AW25" i="13"/>
  <c r="V26" i="13"/>
  <c r="W26" i="13"/>
  <c r="X26" i="13"/>
  <c r="V27" i="13"/>
  <c r="W27" i="13"/>
  <c r="X27" i="13"/>
  <c r="AX28" i="13"/>
  <c r="AY28" i="13"/>
  <c r="AZ28" i="13" s="1"/>
  <c r="V29" i="13"/>
  <c r="W29" i="13"/>
  <c r="X29" i="13"/>
  <c r="V30" i="13"/>
  <c r="AX30" i="13"/>
  <c r="AZ30" i="13"/>
  <c r="AZ31" i="13"/>
  <c r="AF35" i="13"/>
  <c r="AF39" i="13" s="1"/>
  <c r="AE36" i="13"/>
  <c r="AM36" i="13"/>
  <c r="AE37" i="13"/>
  <c r="AE38" i="13"/>
  <c r="AN38" i="13"/>
  <c r="AO38" i="13" s="1"/>
  <c r="AR38" i="13"/>
  <c r="AS38" i="13"/>
  <c r="AE39" i="13"/>
  <c r="AN39" i="13"/>
  <c r="AR39" i="13" s="1"/>
  <c r="V40" i="13"/>
  <c r="Y40" i="13"/>
  <c r="AF40" i="13"/>
  <c r="D92" i="13" s="1"/>
  <c r="G92" i="13" s="1"/>
  <c r="AN40" i="13"/>
  <c r="AO40" i="13" s="1"/>
  <c r="AN41" i="13"/>
  <c r="AQ41" i="13" s="1"/>
  <c r="AN42" i="13"/>
  <c r="AO42" i="13" s="1"/>
  <c r="AR42" i="13"/>
  <c r="AS42" i="13"/>
  <c r="AT42" i="13"/>
  <c r="AN43" i="13"/>
  <c r="AO43" i="13" s="1"/>
  <c r="AQ43" i="13"/>
  <c r="AT43" i="13"/>
  <c r="AE44" i="13"/>
  <c r="AN44" i="13"/>
  <c r="AQ44" i="13" s="1"/>
  <c r="C45" i="13"/>
  <c r="AE45" i="13"/>
  <c r="AN45" i="13"/>
  <c r="AO45" i="13"/>
  <c r="AP45" i="13"/>
  <c r="AQ45" i="13"/>
  <c r="AR45" i="13"/>
  <c r="AS45" i="13"/>
  <c r="AT45" i="13"/>
  <c r="C46" i="13"/>
  <c r="V46" i="13"/>
  <c r="AE46" i="13"/>
  <c r="AJ46" i="13"/>
  <c r="AN46" i="13"/>
  <c r="AO46" i="13" s="1"/>
  <c r="AP46" i="13"/>
  <c r="AQ46" i="13"/>
  <c r="AR46" i="13"/>
  <c r="AS46" i="13"/>
  <c r="AT46" i="13"/>
  <c r="AE47" i="13"/>
  <c r="AN47" i="13"/>
  <c r="AO47" i="13" s="1"/>
  <c r="AE48" i="13"/>
  <c r="D87" i="13" s="1"/>
  <c r="G87" i="13" s="1"/>
  <c r="AN48" i="13"/>
  <c r="AP48" i="13" s="1"/>
  <c r="AE51" i="13"/>
  <c r="AE52" i="13"/>
  <c r="AE58" i="13" s="1"/>
  <c r="D88" i="13" s="1"/>
  <c r="G88" i="13" s="1"/>
  <c r="AE53" i="13"/>
  <c r="AE54" i="13"/>
  <c r="AE55" i="13"/>
  <c r="Z56" i="13"/>
  <c r="AE56" i="13"/>
  <c r="AE57" i="13"/>
  <c r="W59" i="13"/>
  <c r="Z55" i="13" s="1"/>
  <c r="W62" i="13"/>
  <c r="AI63" i="13"/>
  <c r="AB5" i="13"/>
  <c r="F36" i="3" s="1"/>
  <c r="AC5" i="13"/>
  <c r="G36" i="3" s="1"/>
  <c r="AB6" i="13"/>
  <c r="AC6" i="13"/>
  <c r="AB7" i="13"/>
  <c r="AC7" i="13"/>
  <c r="AB8" i="13"/>
  <c r="F39" i="3" s="1"/>
  <c r="AC8" i="13"/>
  <c r="G39" i="3" s="1"/>
  <c r="AB9" i="13"/>
  <c r="AC9" i="13"/>
  <c r="G40" i="3" s="1"/>
  <c r="C137" i="6"/>
  <c r="AB9" i="9"/>
  <c r="AC9" i="9"/>
  <c r="E40" i="3" s="1"/>
  <c r="AC8" i="9"/>
  <c r="E39" i="3" s="1"/>
  <c r="AB8" i="9"/>
  <c r="D39" i="3" s="1"/>
  <c r="AC7" i="9"/>
  <c r="E38" i="3" s="1"/>
  <c r="AB7" i="9"/>
  <c r="D38" i="3" s="1"/>
  <c r="AB6" i="9"/>
  <c r="D37" i="3" s="1"/>
  <c r="AC6" i="9"/>
  <c r="E37" i="3" s="1"/>
  <c r="AC5" i="9"/>
  <c r="E36" i="3" s="1"/>
  <c r="AB5" i="9"/>
  <c r="D36" i="3" s="1"/>
  <c r="Y10" i="3"/>
  <c r="G85" i="9"/>
  <c r="AD86" i="6"/>
  <c r="F20" i="5"/>
  <c r="AF40" i="9"/>
  <c r="D92" i="9" s="1"/>
  <c r="X42" i="3"/>
  <c r="AJ56" i="14" l="1"/>
  <c r="AI58" i="14"/>
  <c r="AA42" i="3" s="1"/>
  <c r="AN26" i="14"/>
  <c r="BA26" i="15"/>
  <c r="AP26" i="14"/>
  <c r="V84" i="14"/>
  <c r="AS26" i="14"/>
  <c r="V82" i="14"/>
  <c r="H82" i="14" s="1"/>
  <c r="AX26" i="14"/>
  <c r="AR26" i="15"/>
  <c r="AV26" i="14"/>
  <c r="AZ26" i="16"/>
  <c r="AY26" i="16"/>
  <c r="AT26" i="16"/>
  <c r="V82" i="15"/>
  <c r="V83" i="16"/>
  <c r="H83" i="16" s="1"/>
  <c r="AI56" i="16"/>
  <c r="AI58" i="15"/>
  <c r="AB42" i="3" s="1"/>
  <c r="AJ56" i="15"/>
  <c r="AI57" i="15" s="1"/>
  <c r="J31" i="3" s="1"/>
  <c r="AJ56" i="16"/>
  <c r="AI57" i="16" s="1"/>
  <c r="L31" i="3" s="1"/>
  <c r="S18" i="3"/>
  <c r="AJ83" i="14"/>
  <c r="AK83" i="14" s="1"/>
  <c r="H84" i="14"/>
  <c r="H82" i="15"/>
  <c r="S17" i="3"/>
  <c r="AJ82" i="14"/>
  <c r="AK82" i="14" s="1"/>
  <c r="V84" i="16"/>
  <c r="AP26" i="16"/>
  <c r="AZ26" i="15"/>
  <c r="AV26" i="15"/>
  <c r="AK84" i="14"/>
  <c r="AI87" i="14"/>
  <c r="AP26" i="15"/>
  <c r="V84" i="15"/>
  <c r="V82" i="16"/>
  <c r="AN26" i="16"/>
  <c r="AU26" i="15"/>
  <c r="AW26" i="14"/>
  <c r="AI57" i="14"/>
  <c r="H31" i="3" s="1"/>
  <c r="AN26" i="15"/>
  <c r="H90" i="15"/>
  <c r="U90" i="15"/>
  <c r="AI84" i="15"/>
  <c r="AK84" i="15" s="1"/>
  <c r="J19" i="3"/>
  <c r="V91" i="14"/>
  <c r="AR26" i="14"/>
  <c r="V91" i="16"/>
  <c r="AR26" i="16"/>
  <c r="BB26" i="14"/>
  <c r="V80" i="14"/>
  <c r="H91" i="15"/>
  <c r="AJ86" i="15"/>
  <c r="AK86" i="15" s="1"/>
  <c r="BB26" i="16"/>
  <c r="V80" i="16"/>
  <c r="AQ26" i="14"/>
  <c r="V89" i="14"/>
  <c r="H89" i="14" s="1"/>
  <c r="AW26" i="16"/>
  <c r="AU26" i="14"/>
  <c r="Y67" i="15"/>
  <c r="Y68" i="15"/>
  <c r="X69" i="15"/>
  <c r="V86" i="15" s="1"/>
  <c r="V80" i="15"/>
  <c r="V83" i="14"/>
  <c r="H83" i="14" s="1"/>
  <c r="AQ26" i="15"/>
  <c r="V89" i="15"/>
  <c r="H89" i="15" s="1"/>
  <c r="AW26" i="15"/>
  <c r="AU26" i="16"/>
  <c r="AT40" i="13"/>
  <c r="AQ40" i="13"/>
  <c r="AT38" i="13"/>
  <c r="G117" i="13"/>
  <c r="AI82" i="13"/>
  <c r="AQ42" i="13"/>
  <c r="AF20" i="13"/>
  <c r="AH20" i="13" s="1"/>
  <c r="AY20" i="13" s="1"/>
  <c r="AP42" i="13"/>
  <c r="AT39" i="13"/>
  <c r="AX29" i="13"/>
  <c r="AX31" i="13" s="1"/>
  <c r="AX32" i="13" s="1"/>
  <c r="D99" i="13" s="1"/>
  <c r="AS39" i="13"/>
  <c r="AO44" i="13"/>
  <c r="AJ42" i="13"/>
  <c r="AJ55" i="13" s="1"/>
  <c r="AQ39" i="13"/>
  <c r="AJ36" i="13"/>
  <c r="AI51" i="13" s="1"/>
  <c r="G116" i="13"/>
  <c r="AO41" i="13"/>
  <c r="AP39" i="13"/>
  <c r="AF23" i="13"/>
  <c r="AH23" i="13" s="1"/>
  <c r="AO23" i="13" s="1"/>
  <c r="AJ41" i="13"/>
  <c r="AI54" i="13" s="1"/>
  <c r="AQ47" i="13"/>
  <c r="AO39" i="13"/>
  <c r="G112" i="13"/>
  <c r="AI85" i="13"/>
  <c r="U87" i="13"/>
  <c r="V87" i="13"/>
  <c r="AH21" i="13"/>
  <c r="AG21" i="13"/>
  <c r="AI21" i="13"/>
  <c r="AJ21" i="13"/>
  <c r="AK21" i="13"/>
  <c r="AJ19" i="13"/>
  <c r="AG19" i="13"/>
  <c r="AH19" i="13"/>
  <c r="AI19" i="13"/>
  <c r="AK19" i="13"/>
  <c r="AO49" i="13"/>
  <c r="AO50" i="13" s="1"/>
  <c r="AH24" i="13"/>
  <c r="AG24" i="13"/>
  <c r="AI24" i="13"/>
  <c r="AJ24" i="13"/>
  <c r="AK24" i="13"/>
  <c r="AG22" i="13"/>
  <c r="AJ22" i="13"/>
  <c r="AH22" i="13"/>
  <c r="AI22" i="13"/>
  <c r="AK22" i="13"/>
  <c r="AO20" i="13"/>
  <c r="AT20" i="13"/>
  <c r="AO48" i="13"/>
  <c r="AP44" i="13"/>
  <c r="AP41" i="13"/>
  <c r="AF37" i="13"/>
  <c r="AG20" i="13"/>
  <c r="U84" i="13"/>
  <c r="AT47" i="13"/>
  <c r="AQ38" i="13"/>
  <c r="AF36" i="13"/>
  <c r="AS47" i="13"/>
  <c r="AS43" i="13"/>
  <c r="AS40" i="13"/>
  <c r="AP38" i="13"/>
  <c r="Z54" i="13"/>
  <c r="AR47" i="13"/>
  <c r="AR43" i="13"/>
  <c r="AR40" i="13"/>
  <c r="AJ35" i="13"/>
  <c r="AS48" i="13"/>
  <c r="AP47" i="13"/>
  <c r="AT44" i="13"/>
  <c r="AP43" i="13"/>
  <c r="AT41" i="13"/>
  <c r="AP40" i="13"/>
  <c r="AJ38" i="13"/>
  <c r="AJ34" i="13"/>
  <c r="AK20" i="13"/>
  <c r="U89" i="13"/>
  <c r="AT48" i="13"/>
  <c r="AR48" i="13"/>
  <c r="AS44" i="13"/>
  <c r="AS41" i="13"/>
  <c r="AF38" i="13"/>
  <c r="AJ20" i="13"/>
  <c r="U81" i="13"/>
  <c r="AQ48" i="13"/>
  <c r="AR44" i="13"/>
  <c r="AR41" i="13"/>
  <c r="AJ39" i="13"/>
  <c r="U91" i="13"/>
  <c r="AI86" i="13"/>
  <c r="AJ43" i="13"/>
  <c r="AJ40" i="13"/>
  <c r="M41" i="3"/>
  <c r="L41" i="3"/>
  <c r="K41" i="3"/>
  <c r="J41" i="3"/>
  <c r="I41" i="3"/>
  <c r="H41" i="3"/>
  <c r="G41" i="3"/>
  <c r="F41" i="3"/>
  <c r="E41" i="3"/>
  <c r="D41" i="3"/>
  <c r="AI63" i="9"/>
  <c r="AJ46" i="9"/>
  <c r="L19" i="9"/>
  <c r="AY33" i="13" l="1"/>
  <c r="AI55" i="13"/>
  <c r="H84" i="16"/>
  <c r="U18" i="3"/>
  <c r="AJ83" i="16"/>
  <c r="AK83" i="16" s="1"/>
  <c r="AJ80" i="14"/>
  <c r="AK80" i="14" s="1"/>
  <c r="V93" i="14"/>
  <c r="H93" i="14" s="1"/>
  <c r="I22" i="3" s="1"/>
  <c r="Y69" i="15"/>
  <c r="D86" i="15" s="1"/>
  <c r="H91" i="16"/>
  <c r="AJ86" i="16"/>
  <c r="AK86" i="16" s="1"/>
  <c r="AJ82" i="16"/>
  <c r="AK82" i="16" s="1"/>
  <c r="U17" i="3"/>
  <c r="H82" i="16"/>
  <c r="AJ82" i="15"/>
  <c r="AK82" i="15" s="1"/>
  <c r="AJ80" i="15"/>
  <c r="AK80" i="15" s="1"/>
  <c r="V93" i="15"/>
  <c r="AJ83" i="15"/>
  <c r="T18" i="3"/>
  <c r="H84" i="15"/>
  <c r="T17" i="3"/>
  <c r="AJ86" i="14"/>
  <c r="AK86" i="14" s="1"/>
  <c r="H91" i="14"/>
  <c r="AJ80" i="16"/>
  <c r="AK80" i="16" s="1"/>
  <c r="V93" i="16"/>
  <c r="H93" i="16" s="1"/>
  <c r="M22" i="3" s="1"/>
  <c r="AP49" i="13"/>
  <c r="AP50" i="13" s="1"/>
  <c r="AY23" i="13"/>
  <c r="AS49" i="13"/>
  <c r="AS50" i="13" s="1"/>
  <c r="AJ54" i="13"/>
  <c r="AJ51" i="13"/>
  <c r="AK23" i="13"/>
  <c r="BB23" i="13" s="1"/>
  <c r="AJ23" i="13"/>
  <c r="AV23" i="13" s="1"/>
  <c r="AX33" i="13"/>
  <c r="BA33" i="13"/>
  <c r="AT49" i="13"/>
  <c r="AT50" i="13" s="1"/>
  <c r="AI20" i="13"/>
  <c r="AU20" i="13" s="1"/>
  <c r="AR49" i="13"/>
  <c r="AR50" i="13" s="1"/>
  <c r="AZ33" i="13"/>
  <c r="AG23" i="13"/>
  <c r="AX23" i="13" s="1"/>
  <c r="AT23" i="13"/>
  <c r="AI23" i="13"/>
  <c r="AU23" i="13" s="1"/>
  <c r="AJ48" i="13"/>
  <c r="AI58" i="13" s="1"/>
  <c r="Z42" i="3" s="1"/>
  <c r="AJ52" i="13"/>
  <c r="AI52" i="13"/>
  <c r="AQ23" i="13"/>
  <c r="AZ22" i="13"/>
  <c r="AP22" i="13"/>
  <c r="AU22" i="13"/>
  <c r="AS21" i="13"/>
  <c r="AX21" i="13"/>
  <c r="AN21" i="13"/>
  <c r="AJ53" i="13"/>
  <c r="AI53" i="13"/>
  <c r="BA22" i="13"/>
  <c r="AQ22" i="13"/>
  <c r="AV22" i="13"/>
  <c r="AQ49" i="13"/>
  <c r="AQ50" i="13" s="1"/>
  <c r="V90" i="13" s="1"/>
  <c r="AJ84" i="13" s="1"/>
  <c r="AN22" i="13"/>
  <c r="AS22" i="13"/>
  <c r="AX22" i="13"/>
  <c r="AU21" i="13"/>
  <c r="AZ21" i="13"/>
  <c r="AP21" i="13"/>
  <c r="BB19" i="13"/>
  <c r="AR19" i="13"/>
  <c r="AW19" i="13"/>
  <c r="BB22" i="13"/>
  <c r="AR22" i="13"/>
  <c r="AW22" i="13"/>
  <c r="AR24" i="13"/>
  <c r="AW24" i="13"/>
  <c r="BB24" i="13"/>
  <c r="AZ19" i="13"/>
  <c r="AP19" i="13"/>
  <c r="AU19" i="13"/>
  <c r="AX20" i="13"/>
  <c r="AS20" i="13"/>
  <c r="AN20" i="13"/>
  <c r="AQ24" i="13"/>
  <c r="BA24" i="13"/>
  <c r="AV24" i="13"/>
  <c r="AY19" i="13"/>
  <c r="AO19" i="13"/>
  <c r="AT19" i="13"/>
  <c r="AT21" i="13"/>
  <c r="AO21" i="13"/>
  <c r="AY21" i="13"/>
  <c r="AZ23" i="13"/>
  <c r="AP23" i="13"/>
  <c r="AW20" i="13"/>
  <c r="BB20" i="13"/>
  <c r="AR20" i="13"/>
  <c r="AN23" i="13"/>
  <c r="AU24" i="13"/>
  <c r="AZ24" i="13"/>
  <c r="AP24" i="13"/>
  <c r="AN19" i="13"/>
  <c r="AS19" i="13"/>
  <c r="AX19" i="13"/>
  <c r="AJ85" i="13"/>
  <c r="AK85" i="13" s="1"/>
  <c r="H87" i="13"/>
  <c r="AQ21" i="13"/>
  <c r="BA21" i="13"/>
  <c r="AV21" i="13"/>
  <c r="AS24" i="13"/>
  <c r="AX24" i="13"/>
  <c r="AN24" i="13"/>
  <c r="BA19" i="13"/>
  <c r="AQ19" i="13"/>
  <c r="AV19" i="13"/>
  <c r="AV20" i="13"/>
  <c r="BA20" i="13"/>
  <c r="AQ20" i="13"/>
  <c r="AY22" i="13"/>
  <c r="AO22" i="13"/>
  <c r="AT22" i="13"/>
  <c r="D90" i="13"/>
  <c r="G90" i="13" s="1"/>
  <c r="F19" i="3" s="1"/>
  <c r="AJ50" i="13"/>
  <c r="AI50" i="13"/>
  <c r="X67" i="13"/>
  <c r="Z53" i="13"/>
  <c r="X68" i="13"/>
  <c r="AT24" i="13"/>
  <c r="AY24" i="13"/>
  <c r="AO24" i="13"/>
  <c r="AR21" i="13"/>
  <c r="AW21" i="13"/>
  <c r="BB21" i="13"/>
  <c r="Z11" i="3"/>
  <c r="AB11" i="3"/>
  <c r="AA11" i="3"/>
  <c r="BA23" i="13" l="1"/>
  <c r="BA26" i="13"/>
  <c r="AI56" i="13"/>
  <c r="AJ56" i="13" s="1"/>
  <c r="AI57" i="13" s="1"/>
  <c r="F31" i="3" s="1"/>
  <c r="K16" i="3"/>
  <c r="K15" i="3"/>
  <c r="K19" i="3"/>
  <c r="K20" i="3"/>
  <c r="K21" i="3"/>
  <c r="G19" i="3"/>
  <c r="G16" i="3"/>
  <c r="G15" i="3"/>
  <c r="G20" i="3"/>
  <c r="I21" i="3"/>
  <c r="I20" i="3"/>
  <c r="I19" i="3"/>
  <c r="I16" i="3"/>
  <c r="I15" i="3"/>
  <c r="F99" i="13"/>
  <c r="G99" i="13" s="1"/>
  <c r="F25" i="3" s="1"/>
  <c r="G86" i="15"/>
  <c r="D93" i="15"/>
  <c r="G93" i="15" s="1"/>
  <c r="H80" i="15" s="1"/>
  <c r="AR23" i="13"/>
  <c r="AR26" i="13" s="1"/>
  <c r="AW23" i="13"/>
  <c r="AW26" i="13" s="1"/>
  <c r="AP20" i="13"/>
  <c r="V84" i="13" s="1"/>
  <c r="R18" i="3" s="1"/>
  <c r="AZ20" i="13"/>
  <c r="AZ26" i="13" s="1"/>
  <c r="AT26" i="13"/>
  <c r="AS23" i="13"/>
  <c r="V82" i="13" s="1"/>
  <c r="R17" i="3" s="1"/>
  <c r="AY26" i="13"/>
  <c r="Y67" i="13"/>
  <c r="Y68" i="13"/>
  <c r="X69" i="13"/>
  <c r="V86" i="13" s="1"/>
  <c r="AN26" i="13"/>
  <c r="AV26" i="13"/>
  <c r="V89" i="13"/>
  <c r="H89" i="13" s="1"/>
  <c r="AQ26" i="13"/>
  <c r="AI84" i="13"/>
  <c r="AK84" i="13" s="1"/>
  <c r="H90" i="13"/>
  <c r="U90" i="13"/>
  <c r="AX26" i="13"/>
  <c r="AU26" i="13"/>
  <c r="V83" i="13"/>
  <c r="H83" i="13" s="1"/>
  <c r="AO26" i="13"/>
  <c r="BB26" i="13"/>
  <c r="V80" i="13"/>
  <c r="AA26" i="3"/>
  <c r="AA15" i="3"/>
  <c r="AA43" i="3"/>
  <c r="AB26" i="3"/>
  <c r="AB15" i="3"/>
  <c r="AB43" i="3"/>
  <c r="Z26" i="3"/>
  <c r="Z15" i="3"/>
  <c r="Z43" i="3"/>
  <c r="AA21" i="3"/>
  <c r="AA20" i="3"/>
  <c r="AA19" i="3"/>
  <c r="AA18" i="3"/>
  <c r="AA17" i="3"/>
  <c r="AA16" i="3"/>
  <c r="AB21" i="3"/>
  <c r="AB20" i="3"/>
  <c r="Z21" i="3"/>
  <c r="Z20" i="3"/>
  <c r="Z19" i="3"/>
  <c r="Z18" i="3"/>
  <c r="Z17" i="3"/>
  <c r="Z16" i="3"/>
  <c r="AC11" i="3"/>
  <c r="AP26" i="13" l="1"/>
  <c r="V91" i="13"/>
  <c r="M21" i="3"/>
  <c r="M20" i="3"/>
  <c r="M19" i="3"/>
  <c r="M16" i="3"/>
  <c r="M15" i="3"/>
  <c r="H86" i="15"/>
  <c r="U86" i="15"/>
  <c r="U93" i="15" s="1"/>
  <c r="H93" i="15" s="1"/>
  <c r="K22" i="3" s="1"/>
  <c r="J18" i="3"/>
  <c r="AI83" i="15"/>
  <c r="AS26" i="13"/>
  <c r="H84" i="13"/>
  <c r="AJ83" i="13"/>
  <c r="AJ80" i="13"/>
  <c r="AK80" i="13" s="1"/>
  <c r="V93" i="13"/>
  <c r="AJ82" i="13"/>
  <c r="AK82" i="13" s="1"/>
  <c r="H82" i="13"/>
  <c r="AJ86" i="13"/>
  <c r="AK86" i="13" s="1"/>
  <c r="H91" i="13"/>
  <c r="G21" i="3" s="1"/>
  <c r="Y69" i="13"/>
  <c r="D86" i="13" s="1"/>
  <c r="Z30" i="3"/>
  <c r="Z31" i="3"/>
  <c r="AA32" i="3"/>
  <c r="AA30" i="3"/>
  <c r="Z32" i="3"/>
  <c r="AC26" i="3"/>
  <c r="AC15" i="3"/>
  <c r="AC43" i="3"/>
  <c r="AA27" i="3"/>
  <c r="AA31" i="3"/>
  <c r="AB32" i="3"/>
  <c r="Z27" i="3"/>
  <c r="Z28" i="3"/>
  <c r="AA28" i="3"/>
  <c r="AB31" i="3"/>
  <c r="Z29" i="3"/>
  <c r="AA29" i="3"/>
  <c r="AC21" i="3"/>
  <c r="AC20" i="3"/>
  <c r="AK83" i="15" l="1"/>
  <c r="AI87" i="15"/>
  <c r="D93" i="13"/>
  <c r="G93" i="13" s="1"/>
  <c r="H80" i="13" s="1"/>
  <c r="G86" i="13"/>
  <c r="AC31" i="3"/>
  <c r="AC32" i="3"/>
  <c r="T159" i="9"/>
  <c r="S159" i="9"/>
  <c r="R159" i="9"/>
  <c r="Q159" i="9"/>
  <c r="P159" i="9"/>
  <c r="O159" i="9"/>
  <c r="N159" i="9"/>
  <c r="M159" i="9"/>
  <c r="L159" i="9"/>
  <c r="K159" i="9"/>
  <c r="J159" i="9"/>
  <c r="I159" i="9"/>
  <c r="H159" i="9"/>
  <c r="G159" i="9"/>
  <c r="F159" i="9"/>
  <c r="E159" i="9"/>
  <c r="D159" i="9"/>
  <c r="D143" i="9"/>
  <c r="E143" i="9"/>
  <c r="F143" i="9"/>
  <c r="G143" i="9"/>
  <c r="H143" i="9"/>
  <c r="I143" i="9"/>
  <c r="J143" i="9"/>
  <c r="K143" i="9"/>
  <c r="L143" i="9"/>
  <c r="M143" i="9"/>
  <c r="N143" i="9"/>
  <c r="O143" i="9"/>
  <c r="P143" i="9"/>
  <c r="Q143" i="9"/>
  <c r="R143" i="9"/>
  <c r="S143" i="9"/>
  <c r="T143" i="9"/>
  <c r="F117" i="9"/>
  <c r="F116" i="9"/>
  <c r="F112" i="9"/>
  <c r="F111" i="9"/>
  <c r="D111" i="9"/>
  <c r="D116" i="9" s="1"/>
  <c r="H86" i="13" l="1"/>
  <c r="U86" i="13"/>
  <c r="U93" i="13" s="1"/>
  <c r="H93" i="13" s="1"/>
  <c r="G22" i="3" s="1"/>
  <c r="AI83" i="13"/>
  <c r="D112" i="9"/>
  <c r="D117" i="9" s="1"/>
  <c r="W115" i="9"/>
  <c r="W114" i="9"/>
  <c r="W113" i="9"/>
  <c r="W112" i="9"/>
  <c r="W111" i="9"/>
  <c r="X29" i="9"/>
  <c r="W29" i="9"/>
  <c r="AK83" i="13" l="1"/>
  <c r="AI87" i="13"/>
  <c r="G82" i="9"/>
  <c r="G83" i="9"/>
  <c r="U83" i="9" s="1"/>
  <c r="G81" i="9"/>
  <c r="D16" i="3" s="1"/>
  <c r="G115" i="9"/>
  <c r="G110" i="9"/>
  <c r="C90" i="9"/>
  <c r="G80" i="9"/>
  <c r="C46" i="9"/>
  <c r="AE45" i="9"/>
  <c r="AE46" i="9"/>
  <c r="AE47" i="9"/>
  <c r="AE44" i="9"/>
  <c r="C142" i="6"/>
  <c r="AE57" i="9" s="1"/>
  <c r="C141" i="6"/>
  <c r="AE56" i="9" s="1"/>
  <c r="C140" i="6"/>
  <c r="AE55" i="9" s="1"/>
  <c r="C136" i="6"/>
  <c r="N22" i="9"/>
  <c r="V29" i="9"/>
  <c r="U80" i="9" l="1"/>
  <c r="D15" i="3"/>
  <c r="U82" i="9"/>
  <c r="U81" i="9"/>
  <c r="AE54" i="9"/>
  <c r="AE53" i="9"/>
  <c r="AE51" i="9"/>
  <c r="AE52" i="9"/>
  <c r="AE48" i="9"/>
  <c r="D87" i="9" s="1"/>
  <c r="AE58" i="9" l="1"/>
  <c r="D88" i="9" s="1"/>
  <c r="AM36" i="9"/>
  <c r="AN39" i="9"/>
  <c r="AT39" i="9" s="1"/>
  <c r="AN38" i="9"/>
  <c r="AQ38" i="9" s="1"/>
  <c r="AN40" i="9"/>
  <c r="AP40" i="9" s="1"/>
  <c r="AN41" i="9"/>
  <c r="AO41" i="9" s="1"/>
  <c r="AN42" i="9"/>
  <c r="AS42" i="9" s="1"/>
  <c r="AN43" i="9"/>
  <c r="AO43" i="9" s="1"/>
  <c r="AN44" i="9"/>
  <c r="AS44" i="9" s="1"/>
  <c r="AN45" i="9"/>
  <c r="AO45" i="9" s="1"/>
  <c r="AN46" i="9"/>
  <c r="AS46" i="9" s="1"/>
  <c r="AN47" i="9"/>
  <c r="AO47" i="9" s="1"/>
  <c r="AN48" i="9"/>
  <c r="AS48" i="9" s="1"/>
  <c r="Z56" i="9"/>
  <c r="W59" i="9"/>
  <c r="Z54" i="9" s="1"/>
  <c r="W62" i="9"/>
  <c r="AS38" i="9" l="1"/>
  <c r="AQ48" i="9"/>
  <c r="AQ42" i="9"/>
  <c r="AR38" i="9"/>
  <c r="AR48" i="9"/>
  <c r="AR46" i="9"/>
  <c r="AR44" i="9"/>
  <c r="AR42" i="9"/>
  <c r="AT38" i="9"/>
  <c r="AP48" i="9"/>
  <c r="AP46" i="9"/>
  <c r="AP44" i="9"/>
  <c r="AP42" i="9"/>
  <c r="AO40" i="9"/>
  <c r="AT47" i="9"/>
  <c r="AT45" i="9"/>
  <c r="AT43" i="9"/>
  <c r="AT41" i="9"/>
  <c r="AQ44" i="9"/>
  <c r="AT40" i="9"/>
  <c r="AS47" i="9"/>
  <c r="AS45" i="9"/>
  <c r="AS43" i="9"/>
  <c r="AS41" i="9"/>
  <c r="AS40" i="9"/>
  <c r="AR47" i="9"/>
  <c r="AR45" i="9"/>
  <c r="AR43" i="9"/>
  <c r="AR41" i="9"/>
  <c r="AR40" i="9"/>
  <c r="AQ47" i="9"/>
  <c r="AQ45" i="9"/>
  <c r="AQ43" i="9"/>
  <c r="AQ41" i="9"/>
  <c r="AQ46" i="9"/>
  <c r="AQ40" i="9"/>
  <c r="AP47" i="9"/>
  <c r="AP45" i="9"/>
  <c r="AP43" i="9"/>
  <c r="AP41" i="9"/>
  <c r="AO46" i="9"/>
  <c r="AO44" i="9"/>
  <c r="AO42" i="9"/>
  <c r="X68" i="9"/>
  <c r="Y68" i="9"/>
  <c r="AO38" i="9"/>
  <c r="AO48" i="9"/>
  <c r="X67" i="9"/>
  <c r="AP38" i="9"/>
  <c r="AT48" i="9"/>
  <c r="AT46" i="9"/>
  <c r="AT44" i="9"/>
  <c r="AT42" i="9"/>
  <c r="AO39" i="9"/>
  <c r="AP39" i="9"/>
  <c r="AQ39" i="9"/>
  <c r="AR39" i="9"/>
  <c r="AS39" i="9"/>
  <c r="Z53" i="9"/>
  <c r="Y67" i="9" s="1"/>
  <c r="Z55" i="9"/>
  <c r="Y69" i="9" l="1"/>
  <c r="D86" i="9" s="1"/>
  <c r="G86" i="9" s="1"/>
  <c r="AT49" i="9"/>
  <c r="AT50" i="9" s="1"/>
  <c r="AS49" i="9"/>
  <c r="AS50" i="9" s="1"/>
  <c r="AQ49" i="9"/>
  <c r="AQ50" i="9" s="1"/>
  <c r="V90" i="9" s="1"/>
  <c r="AO49" i="9"/>
  <c r="AO50" i="9" s="1"/>
  <c r="AP49" i="9"/>
  <c r="AP50" i="9" s="1"/>
  <c r="X69" i="9"/>
  <c r="V86" i="9" s="1"/>
  <c r="AR49" i="9"/>
  <c r="AR50" i="9" s="1"/>
  <c r="U86" i="9" l="1"/>
  <c r="H86" i="9"/>
  <c r="AJ84" i="9"/>
  <c r="C45" i="9"/>
  <c r="AF35" i="9"/>
  <c r="AE37" i="9"/>
  <c r="AE38" i="9"/>
  <c r="AE39" i="9"/>
  <c r="AE36" i="9"/>
  <c r="AF39" i="9" l="1"/>
  <c r="AF38" i="9"/>
  <c r="AI81" i="9"/>
  <c r="Y16" i="3"/>
  <c r="Y27" i="3" s="1"/>
  <c r="AI80" i="9"/>
  <c r="AF36" i="9"/>
  <c r="G92" i="9" l="1"/>
  <c r="F93" i="9"/>
  <c r="E93" i="9"/>
  <c r="AZ31" i="9" l="1"/>
  <c r="AX30" i="9"/>
  <c r="AZ30" i="9" s="1"/>
  <c r="AY28" i="9"/>
  <c r="AZ28" i="9" s="1"/>
  <c r="AX28" i="9"/>
  <c r="AT25" i="9"/>
  <c r="AU25" i="9"/>
  <c r="AV25" i="9"/>
  <c r="AW25" i="9"/>
  <c r="AS25" i="9"/>
  <c r="AN25" i="9"/>
  <c r="AQ25" i="9"/>
  <c r="AR25" i="9"/>
  <c r="AO25" i="9"/>
  <c r="AP25" i="9"/>
  <c r="AE21" i="9"/>
  <c r="AF21" i="9" s="1"/>
  <c r="AJ21" i="9" s="1"/>
  <c r="BA21" i="9" s="1"/>
  <c r="AE22" i="9"/>
  <c r="AF22" i="9" s="1"/>
  <c r="F69" i="6"/>
  <c r="F73" i="6" s="1"/>
  <c r="D69" i="6"/>
  <c r="AI65" i="6"/>
  <c r="AJ65" i="6" s="1"/>
  <c r="AI68" i="6" s="1"/>
  <c r="AI69" i="6" s="1"/>
  <c r="AI70" i="6" s="1"/>
  <c r="AI71" i="6" s="1"/>
  <c r="AI72" i="6" s="1"/>
  <c r="E68" i="6"/>
  <c r="V81" i="9" l="1"/>
  <c r="H81" i="9" s="1"/>
  <c r="E16" i="3" s="1"/>
  <c r="AQ21" i="9"/>
  <c r="AV21" i="9"/>
  <c r="AM22" i="9"/>
  <c r="AM21" i="9"/>
  <c r="AX29" i="9"/>
  <c r="AX31" i="9" s="1"/>
  <c r="AK22" i="9"/>
  <c r="BB22" i="9" s="1"/>
  <c r="AG22" i="9"/>
  <c r="AX22" i="9" s="1"/>
  <c r="AH22" i="9"/>
  <c r="AY22" i="9" s="1"/>
  <c r="AI22" i="9"/>
  <c r="AZ22" i="9" s="1"/>
  <c r="AJ22" i="9"/>
  <c r="BA22" i="9" s="1"/>
  <c r="AI21" i="9"/>
  <c r="AZ21" i="9" s="1"/>
  <c r="AG21" i="9"/>
  <c r="AX21" i="9" s="1"/>
  <c r="AH21" i="9"/>
  <c r="AY21" i="9" s="1"/>
  <c r="AK21" i="9"/>
  <c r="BB21" i="9" s="1"/>
  <c r="AI73" i="6"/>
  <c r="AI74" i="6" s="1"/>
  <c r="AI75" i="6" s="1"/>
  <c r="AI76" i="6" s="1"/>
  <c r="AI77" i="6" s="1"/>
  <c r="AI78" i="6" s="1"/>
  <c r="AI79" i="6" s="1"/>
  <c r="AI80" i="6" s="1"/>
  <c r="AI81" i="6" s="1"/>
  <c r="AI82" i="6" s="1"/>
  <c r="AI83" i="6" s="1"/>
  <c r="AI84" i="6" s="1"/>
  <c r="AI85" i="6" s="1"/>
  <c r="AI86" i="6" s="1"/>
  <c r="AI87" i="6" s="1"/>
  <c r="AI88" i="6" s="1"/>
  <c r="AI89" i="6" s="1"/>
  <c r="AI90" i="6" s="1"/>
  <c r="AI91" i="6" s="1"/>
  <c r="AI92" i="6" s="1"/>
  <c r="AI93" i="6" s="1"/>
  <c r="AI94" i="6" s="1"/>
  <c r="AI95" i="6" s="1"/>
  <c r="AI96" i="6" s="1"/>
  <c r="D68" i="6"/>
  <c r="D67" i="6"/>
  <c r="AD88" i="6" s="1"/>
  <c r="AE19" i="9"/>
  <c r="J21" i="6"/>
  <c r="J22" i="6"/>
  <c r="J23" i="6"/>
  <c r="J24" i="6"/>
  <c r="J25" i="6"/>
  <c r="J26" i="6"/>
  <c r="J27" i="6"/>
  <c r="J28" i="6"/>
  <c r="J29" i="6"/>
  <c r="J30" i="6"/>
  <c r="J31" i="6"/>
  <c r="J32" i="6"/>
  <c r="J33" i="6"/>
  <c r="J34" i="6"/>
  <c r="J35" i="6"/>
  <c r="J36" i="6"/>
  <c r="J20" i="6"/>
  <c r="V19" i="9"/>
  <c r="AJ81" i="9" l="1"/>
  <c r="AK81" i="9" s="1"/>
  <c r="AA105" i="6"/>
  <c r="AQ22" i="9"/>
  <c r="AV22" i="9"/>
  <c r="AP22" i="9"/>
  <c r="AU22" i="9"/>
  <c r="AO22" i="9"/>
  <c r="AT22" i="9"/>
  <c r="AN22" i="9"/>
  <c r="AS22" i="9"/>
  <c r="AR22" i="9"/>
  <c r="AW22" i="9"/>
  <c r="AR21" i="9"/>
  <c r="AW21" i="9"/>
  <c r="AO21" i="9"/>
  <c r="AT21" i="9"/>
  <c r="AN21" i="9"/>
  <c r="AS21" i="9"/>
  <c r="AP21" i="9"/>
  <c r="AU21" i="9"/>
  <c r="AF19" i="9"/>
  <c r="AH19" i="9" s="1"/>
  <c r="AM19" i="9"/>
  <c r="AX32" i="9"/>
  <c r="D99" i="9" s="1"/>
  <c r="AT19" i="9" l="1"/>
  <c r="AY19" i="9"/>
  <c r="AO19" i="9"/>
  <c r="AI19" i="9"/>
  <c r="AZ19" i="9" s="1"/>
  <c r="AJ19" i="9"/>
  <c r="BA19" i="9" s="1"/>
  <c r="AK19" i="9"/>
  <c r="BB19" i="9" s="1"/>
  <c r="AG19" i="9"/>
  <c r="AS19" i="9" s="1"/>
  <c r="AQ19" i="9" l="1"/>
  <c r="AV19" i="9"/>
  <c r="AR19" i="9"/>
  <c r="AW19" i="9"/>
  <c r="AP19" i="9"/>
  <c r="AU19" i="9"/>
  <c r="AN19" i="9"/>
  <c r="AX19" i="9"/>
  <c r="C96" i="6" l="1"/>
  <c r="F68" i="6"/>
  <c r="F67" i="6"/>
  <c r="F71" i="6" l="1"/>
  <c r="F72" i="6" s="1"/>
  <c r="C101" i="6" l="1"/>
  <c r="C100" i="6"/>
  <c r="C97" i="6"/>
  <c r="C98" i="6" s="1"/>
  <c r="C80" i="6" l="1"/>
  <c r="C81" i="6" s="1"/>
  <c r="E117" i="9" s="1"/>
  <c r="G117" i="9" s="1"/>
  <c r="C83" i="6"/>
  <c r="E112" i="9" l="1"/>
  <c r="G112" i="9" s="1"/>
  <c r="C84" i="6"/>
  <c r="E116" i="9" s="1"/>
  <c r="G116" i="9" s="1"/>
  <c r="E111" i="9"/>
  <c r="G111" i="9" s="1"/>
  <c r="AF37" i="9"/>
  <c r="S26" i="5"/>
  <c r="G84" i="9"/>
  <c r="G87" i="9"/>
  <c r="D20" i="3" s="1"/>
  <c r="G88" i="9"/>
  <c r="G89" i="9"/>
  <c r="D17" i="3" s="1"/>
  <c r="G91" i="9"/>
  <c r="D21" i="3" s="1"/>
  <c r="V30" i="9"/>
  <c r="V40" i="9"/>
  <c r="X25" i="9"/>
  <c r="X26" i="9"/>
  <c r="X27" i="9"/>
  <c r="N20" i="9"/>
  <c r="X20" i="9" s="1"/>
  <c r="N21" i="9"/>
  <c r="X21" i="9" s="1"/>
  <c r="X22" i="9"/>
  <c r="N19" i="9"/>
  <c r="X19" i="9" s="1"/>
  <c r="L20" i="9"/>
  <c r="L21" i="9"/>
  <c r="L22" i="9"/>
  <c r="V26" i="9"/>
  <c r="W26" i="9"/>
  <c r="G98" i="9"/>
  <c r="D24" i="3" s="1"/>
  <c r="C89" i="9"/>
  <c r="D78" i="9"/>
  <c r="D96" i="9" s="1"/>
  <c r="V46" i="9"/>
  <c r="Y40" i="9"/>
  <c r="W27" i="9"/>
  <c r="V27" i="9"/>
  <c r="W25" i="9"/>
  <c r="V25" i="9"/>
  <c r="AK147" i="9"/>
  <c r="AE20" i="9" s="1"/>
  <c r="W24" i="9"/>
  <c r="V24" i="9"/>
  <c r="W23" i="9"/>
  <c r="V23" i="9"/>
  <c r="W22" i="9"/>
  <c r="V22" i="9"/>
  <c r="W21" i="9"/>
  <c r="V21" i="9"/>
  <c r="W20" i="9"/>
  <c r="V20" i="9"/>
  <c r="W19" i="9"/>
  <c r="K17" i="3" l="1"/>
  <c r="I17" i="3"/>
  <c r="G17" i="3"/>
  <c r="M17" i="3"/>
  <c r="U84" i="9"/>
  <c r="D18" i="3"/>
  <c r="U89" i="9"/>
  <c r="Y17" i="3"/>
  <c r="Y28" i="3" s="1"/>
  <c r="U91" i="9"/>
  <c r="D90" i="9"/>
  <c r="D93" i="9" s="1"/>
  <c r="G93" i="9" s="1"/>
  <c r="H80" i="9" s="1"/>
  <c r="E15" i="3" s="1"/>
  <c r="Y20" i="3"/>
  <c r="Y31" i="3" s="1"/>
  <c r="U87" i="9"/>
  <c r="V87" i="9"/>
  <c r="AI86" i="9"/>
  <c r="Y21" i="3"/>
  <c r="Y32" i="3" s="1"/>
  <c r="AI82" i="9"/>
  <c r="AI85" i="9"/>
  <c r="AI83" i="9"/>
  <c r="N23" i="9"/>
  <c r="X23" i="9" s="1"/>
  <c r="AF20" i="9"/>
  <c r="AM20" i="9"/>
  <c r="L23" i="9"/>
  <c r="AE23" i="9"/>
  <c r="AE24" i="9"/>
  <c r="N24" i="9"/>
  <c r="X24" i="9" s="1"/>
  <c r="L24" i="9"/>
  <c r="Y18" i="3" l="1"/>
  <c r="Y29" i="3" s="1"/>
  <c r="K18" i="3"/>
  <c r="I18" i="3"/>
  <c r="G18" i="3"/>
  <c r="M18" i="3"/>
  <c r="AJ40" i="9"/>
  <c r="AJ53" i="9" s="1"/>
  <c r="AJ35" i="9"/>
  <c r="AJ42" i="9"/>
  <c r="AI55" i="9" s="1"/>
  <c r="AJ55" i="9" s="1"/>
  <c r="AJ41" i="9"/>
  <c r="AJ54" i="9" s="1"/>
  <c r="AJ39" i="9"/>
  <c r="AJ38" i="9"/>
  <c r="AJ52" i="9" s="1"/>
  <c r="AJ34" i="9"/>
  <c r="AI50" i="9" s="1"/>
  <c r="AJ50" i="9" s="1"/>
  <c r="AJ37" i="9"/>
  <c r="AJ36" i="9"/>
  <c r="AJ51" i="9" s="1"/>
  <c r="AJ43" i="9"/>
  <c r="G90" i="9"/>
  <c r="H87" i="9"/>
  <c r="E20" i="3" s="1"/>
  <c r="AJ85" i="9"/>
  <c r="AK85" i="9" s="1"/>
  <c r="AH20" i="9"/>
  <c r="AI20" i="9"/>
  <c r="AJ20" i="9"/>
  <c r="AK20" i="9"/>
  <c r="AG20" i="9"/>
  <c r="AF24" i="9"/>
  <c r="AM24" i="9"/>
  <c r="AF23" i="9"/>
  <c r="AM23" i="9"/>
  <c r="R26" i="5"/>
  <c r="Q26" i="5"/>
  <c r="F23" i="5" s="1"/>
  <c r="AJ48" i="9" l="1"/>
  <c r="AI58" i="9" s="1"/>
  <c r="AI53" i="9"/>
  <c r="D19" i="3"/>
  <c r="Y19" i="3" s="1"/>
  <c r="Y30" i="3" s="1"/>
  <c r="U90" i="9"/>
  <c r="U93" i="9" s="1"/>
  <c r="H90" i="9"/>
  <c r="E19" i="3" s="1"/>
  <c r="AI84" i="9"/>
  <c r="AK84" i="9" s="1"/>
  <c r="AI54" i="9"/>
  <c r="AI52" i="9"/>
  <c r="AI51" i="9"/>
  <c r="AS20" i="9"/>
  <c r="AX20" i="9"/>
  <c r="AW20" i="9"/>
  <c r="BB20" i="9"/>
  <c r="AV20" i="9"/>
  <c r="BA20" i="9"/>
  <c r="AU20" i="9"/>
  <c r="AZ20" i="9"/>
  <c r="AT20" i="9"/>
  <c r="AY20" i="9"/>
  <c r="AN20" i="9"/>
  <c r="AR20" i="9"/>
  <c r="AQ20" i="9"/>
  <c r="AP20" i="9"/>
  <c r="AO20" i="9"/>
  <c r="AH23" i="9"/>
  <c r="AY23" i="9" s="1"/>
  <c r="AK23" i="9"/>
  <c r="BB23" i="9" s="1"/>
  <c r="AJ23" i="9"/>
  <c r="BA23" i="9" s="1"/>
  <c r="AI23" i="9"/>
  <c r="AZ23" i="9" s="1"/>
  <c r="AG23" i="9"/>
  <c r="AX23" i="9" s="1"/>
  <c r="AI24" i="9"/>
  <c r="AH24" i="9"/>
  <c r="AJ24" i="9"/>
  <c r="AK24" i="9"/>
  <c r="AG24" i="9"/>
  <c r="F24" i="5"/>
  <c r="F22" i="5"/>
  <c r="F21" i="5"/>
  <c r="B18" i="5"/>
  <c r="X25" i="3"/>
  <c r="X14" i="3"/>
  <c r="X45" i="3"/>
  <c r="X46" i="3"/>
  <c r="X47" i="3"/>
  <c r="X48" i="3"/>
  <c r="X49" i="3"/>
  <c r="X44" i="3"/>
  <c r="X28" i="3"/>
  <c r="X29" i="3"/>
  <c r="X30" i="3"/>
  <c r="X31" i="3"/>
  <c r="X32" i="3"/>
  <c r="X27" i="3"/>
  <c r="C22" i="3"/>
  <c r="AI56" i="9" l="1"/>
  <c r="AJ56" i="9" s="1"/>
  <c r="AI57" i="9" s="1"/>
  <c r="D31" i="3" s="1"/>
  <c r="Y42" i="3"/>
  <c r="Y45" i="3" s="1"/>
  <c r="AI87" i="9"/>
  <c r="BB24" i="9"/>
  <c r="V80" i="9" s="1"/>
  <c r="AJ80" i="9" s="1"/>
  <c r="AK80" i="9" s="1"/>
  <c r="AR24" i="9"/>
  <c r="AY24" i="9"/>
  <c r="AO24" i="9"/>
  <c r="AZ24" i="9"/>
  <c r="AP24" i="9"/>
  <c r="AQ24" i="9"/>
  <c r="BA24" i="9"/>
  <c r="AN24" i="9"/>
  <c r="AX24" i="9"/>
  <c r="AS24" i="9"/>
  <c r="AV24" i="9"/>
  <c r="AR23" i="9"/>
  <c r="AW23" i="9"/>
  <c r="AT24" i="9"/>
  <c r="AO23" i="9"/>
  <c r="AT23" i="9"/>
  <c r="AU24" i="9"/>
  <c r="AQ23" i="9"/>
  <c r="AV23" i="9"/>
  <c r="AW24" i="9"/>
  <c r="AN23" i="9"/>
  <c r="AS23" i="9"/>
  <c r="AP23" i="9"/>
  <c r="AU23" i="9"/>
  <c r="C6" i="1"/>
  <c r="C5" i="1"/>
  <c r="H22" i="3"/>
  <c r="H30" i="3" s="1"/>
  <c r="F22" i="3"/>
  <c r="F30" i="3" s="1"/>
  <c r="D22" i="3"/>
  <c r="D30" i="3" s="1"/>
  <c r="Y49" i="3" l="1"/>
  <c r="Y44" i="3"/>
  <c r="V82" i="9"/>
  <c r="F29" i="3"/>
  <c r="F28" i="3"/>
  <c r="Z22" i="3"/>
  <c r="H28" i="3"/>
  <c r="H29" i="3"/>
  <c r="AA22" i="3"/>
  <c r="Y48" i="3"/>
  <c r="Z46" i="3"/>
  <c r="Z49" i="3"/>
  <c r="Z45" i="3"/>
  <c r="Z47" i="3"/>
  <c r="Z48" i="3"/>
  <c r="Z44" i="3"/>
  <c r="Y47" i="3"/>
  <c r="AA48" i="3"/>
  <c r="AA46" i="3"/>
  <c r="AA49" i="3"/>
  <c r="AA47" i="3"/>
  <c r="AA45" i="3"/>
  <c r="AA44" i="3"/>
  <c r="Y46" i="3"/>
  <c r="AB49" i="3"/>
  <c r="AB48" i="3"/>
  <c r="AC48" i="3"/>
  <c r="AC49" i="3"/>
  <c r="AC16" i="3"/>
  <c r="AB16" i="3"/>
  <c r="AC19" i="3"/>
  <c r="AB19" i="3"/>
  <c r="AC18" i="3"/>
  <c r="AB18" i="3"/>
  <c r="AC17" i="3"/>
  <c r="AB17" i="3"/>
  <c r="D29" i="3"/>
  <c r="D28" i="3"/>
  <c r="Y22" i="3"/>
  <c r="V91" i="9"/>
  <c r="H91" i="9" s="1"/>
  <c r="E21" i="3" s="1"/>
  <c r="AW26" i="9"/>
  <c r="AO26" i="9"/>
  <c r="V83" i="9"/>
  <c r="H83" i="9" s="1"/>
  <c r="AN26" i="9"/>
  <c r="AP26" i="9"/>
  <c r="V89" i="9"/>
  <c r="H89" i="9" s="1"/>
  <c r="V84" i="9"/>
  <c r="Q18" i="3" s="1"/>
  <c r="E18" i="3" s="1"/>
  <c r="AQ26" i="9"/>
  <c r="AZ26" i="9"/>
  <c r="AZ33" i="9" s="1"/>
  <c r="AT26" i="9"/>
  <c r="AX26" i="9"/>
  <c r="AX33" i="9" s="1"/>
  <c r="AR26" i="9"/>
  <c r="BB26" i="9"/>
  <c r="AV26" i="9"/>
  <c r="BA26" i="9"/>
  <c r="BA33" i="9" s="1"/>
  <c r="AU26" i="9"/>
  <c r="AY26" i="9"/>
  <c r="AY33" i="9" s="1"/>
  <c r="AS26" i="9"/>
  <c r="J22" i="3"/>
  <c r="J30" i="3" s="1"/>
  <c r="H82" i="9" l="1"/>
  <c r="Q17" i="3"/>
  <c r="E17" i="3" s="1"/>
  <c r="J29" i="3"/>
  <c r="J28" i="3"/>
  <c r="AB27" i="3"/>
  <c r="AB44" i="3"/>
  <c r="AC44" i="3"/>
  <c r="AC27" i="3"/>
  <c r="L22" i="3"/>
  <c r="L30" i="3" s="1"/>
  <c r="H84" i="9"/>
  <c r="AB47" i="3"/>
  <c r="AB30" i="3"/>
  <c r="AC47" i="3"/>
  <c r="AC30" i="3"/>
  <c r="AB29" i="3"/>
  <c r="AB46" i="3"/>
  <c r="AC46" i="3"/>
  <c r="AC29" i="3"/>
  <c r="AB28" i="3"/>
  <c r="AB45" i="3"/>
  <c r="AB22" i="3"/>
  <c r="AC45" i="3"/>
  <c r="AC28" i="3"/>
  <c r="F99" i="9"/>
  <c r="G99" i="9" s="1"/>
  <c r="V93" i="9"/>
  <c r="H93" i="9" s="1"/>
  <c r="E22" i="3" s="1"/>
  <c r="AJ82" i="9"/>
  <c r="AK82" i="9" s="1"/>
  <c r="AJ83" i="9"/>
  <c r="AJ86" i="9"/>
  <c r="AK86" i="9" s="1"/>
  <c r="D25" i="3" l="1"/>
  <c r="AC22" i="3"/>
  <c r="L29" i="3"/>
  <c r="L28" i="3"/>
  <c r="AK8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17" authorId="0" shapeId="0" xr:uid="{0CA064B7-2D60-43F6-B0BF-6E13BD1EC2EB}">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20" authorId="0" shapeId="0" xr:uid="{4FF610C5-4011-428E-A2EE-D620C8249EEF}">
      <text>
        <r>
          <rPr>
            <sz val="9"/>
            <color indexed="81"/>
            <rFont val="Tahoma"/>
            <family val="2"/>
          </rPr>
          <t>Klimagassutslipp fra arealbruksendringer (A5, B1) er utslipp og opptak av biogent karbon.</t>
        </r>
      </text>
    </comment>
    <comment ref="C25" authorId="0" shapeId="0" xr:uid="{83400067-AF63-4974-8455-9D46D523C8AD}">
      <text>
        <r>
          <rPr>
            <sz val="9"/>
            <color indexed="81"/>
            <rFont val="Tahoma"/>
            <family val="2"/>
          </rPr>
          <t xml:space="preserve">Beskirvelse: Dette er teoretisk utslipp som er "igjen" av bygget basert på en 50 års beregningsperiode. Eksempel: Et bygg har et beregnet klimautslipp A1-A4 på 100 tonn CO2 e, 50 års beregningsperiode. Rives bygget 20 år etter oppfrøing "gjenstår" 30 år med utslipp fra bygget. Restutslipp bygg som rives er da beregnet slik: 100 tonn CO2 e / 50 år beregningsperiode * 30 år restlevetid = 60 tonn CO2 ekv.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B25" authorId="0" shapeId="0" xr:uid="{6C90AD25-DF57-4A71-8C81-6DECF736AB78}">
      <text>
        <r>
          <rPr>
            <sz val="9"/>
            <color indexed="81"/>
            <rFont val="Tahoma"/>
            <family val="2"/>
          </rPr>
          <t>Klimagassregnskapet skal ikke inkludere biogent karbon.</t>
        </r>
      </text>
    </comment>
    <comment ref="S39" authorId="0" shapeId="0" xr:uid="{2A18024F-C2EA-4A0D-8C6B-F5C2F76DE7FE}">
      <text>
        <r>
          <rPr>
            <sz val="9"/>
            <color indexed="81"/>
            <rFont val="Tahoma"/>
            <family val="2"/>
          </rPr>
          <t>Ikke obligatorisk med ekstern rapport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8" authorId="0" shapeId="0" xr:uid="{FA9A2343-01D1-4B6F-9BD3-163CEDDCA3C0}">
      <text>
        <r>
          <rPr>
            <sz val="9"/>
            <color indexed="81"/>
            <rFont val="Tahoma"/>
            <family val="2"/>
          </rPr>
          <t>Beskriv hvilke tiltak som skal gjøres for utslippsreduksjon i forbindelse med riving og/eller bevaring av eksisterende bebyggelse.</t>
        </r>
      </text>
    </comment>
    <comment ref="C9" authorId="0" shapeId="0" xr:uid="{B40708AC-5A85-4F9D-95BF-7822A3861258}">
      <text>
        <r>
          <rPr>
            <sz val="9"/>
            <color indexed="81"/>
            <rFont val="Tahoma"/>
            <family val="2"/>
          </rPr>
          <t>Beskriv hvilke tiltak som skal gjøres for å redusere utslipp fra materialbruk, herunder gjenbruk av byggematerialer og valg av lavutslippsmateriale.</t>
        </r>
      </text>
    </comment>
    <comment ref="C10" authorId="0" shapeId="0" xr:uid="{2F5E1AD3-EC72-40D9-A5FC-26DCB17FD565}">
      <text>
        <r>
          <rPr>
            <sz val="9"/>
            <color indexed="81"/>
            <rFont val="Tahoma"/>
            <family val="2"/>
          </rPr>
          <t>Beskriv hvilke tiltak som skal gjøres for å redusere energibehov, herunder bruk av lavutslipps energiløsninger i prosjektet.</t>
        </r>
      </text>
    </comment>
    <comment ref="C11" authorId="0" shapeId="0" xr:uid="{33A66414-2D36-48BA-8349-D4BC28E5C06B}">
      <text>
        <r>
          <rPr>
            <sz val="9"/>
            <color indexed="81"/>
            <rFont val="Tahoma"/>
            <family val="2"/>
          </rPr>
          <t>Beskriv hvilke tiltak som skal gjøres for å redusere utslippene i bygge- og anleggsperioden.</t>
        </r>
      </text>
    </comment>
    <comment ref="G17" authorId="0" shapeId="0" xr:uid="{66E56969-0876-4DC1-8FF1-88F27EC52619}">
      <text>
        <r>
          <rPr>
            <sz val="9"/>
            <color indexed="81"/>
            <rFont val="Tahoma"/>
            <family val="2"/>
          </rPr>
          <t>Areal som tastes inn er areal etter en eventuell rehabilitering</t>
        </r>
      </text>
    </comment>
    <comment ref="K17" authorId="0" shapeId="0" xr:uid="{1B1E1877-B670-4DDC-AC8A-21423820FF16}">
      <text>
        <r>
          <rPr>
            <sz val="9"/>
            <color indexed="81"/>
            <rFont val="Tahoma"/>
            <family val="2"/>
          </rPr>
          <t xml:space="preserve">Gjelder idrettsbygg og industri.
Fra gulv på grunn til underkant yttertak
</t>
        </r>
      </text>
    </comment>
    <comment ref="L17" authorId="0" shapeId="0" xr:uid="{0296EA14-6E9C-47D4-9A38-E76F7F5B85FB}">
      <text>
        <r>
          <rPr>
            <sz val="9"/>
            <color indexed="81"/>
            <rFont val="Tahoma"/>
            <family val="2"/>
          </rPr>
          <t>Samlet for nybygg og eksisterende bygg som beholdes (med eller uten rehabilitering)</t>
        </r>
      </text>
    </comment>
    <comment ref="E18" authorId="0" shapeId="0" xr:uid="{3936C87D-3CC6-4645-B0BF-D1B57CFD0996}">
      <text>
        <r>
          <rPr>
            <b/>
            <sz val="9"/>
            <color indexed="81"/>
            <rFont val="Tahoma"/>
            <family val="2"/>
          </rPr>
          <t>Hva menes med ”oppvarmet bruksareal (BRA)”?</t>
        </r>
        <r>
          <rPr>
            <sz val="9"/>
            <color indexed="81"/>
            <rFont val="Tahoma"/>
            <family val="2"/>
          </rPr>
          <t xml:space="preserve">
Det oppvarmede bruksarealet i en bygning er i mange tilfeller et mindre areal enn bygningens bruksareal. Metoden for å beregne dette er angitt TEK17, § 14-1. Generelle krav.
Eksempler på areal som ofte ikke tas med i oppvarmet bruksareal, er garasje og utvendig bod. Oppvarmet areal er gjerne begrenset til areal innenfor isolerte yttervegger.
</t>
        </r>
      </text>
    </comment>
    <comment ref="AX28" authorId="0" shapeId="0" xr:uid="{E4EF1DF7-BB00-44E7-804C-3D318FB5C371}">
      <text>
        <r>
          <rPr>
            <b/>
            <sz val="9"/>
            <color indexed="81"/>
            <rFont val="Tahoma"/>
            <family val="2"/>
          </rPr>
          <t>dagens år</t>
        </r>
        <r>
          <rPr>
            <sz val="9"/>
            <color indexed="81"/>
            <rFont val="Tahoma"/>
            <family val="2"/>
          </rPr>
          <t xml:space="preserve">
</t>
        </r>
      </text>
    </comment>
    <comment ref="AZ28" authorId="0" shapeId="0" xr:uid="{991E51C8-2B5F-4ECE-9A4D-859F5FDC6DBE}">
      <text>
        <r>
          <rPr>
            <b/>
            <sz val="9"/>
            <color indexed="81"/>
            <rFont val="Tahoma"/>
            <family val="2"/>
          </rPr>
          <t>basert på input</t>
        </r>
      </text>
    </comment>
    <comment ref="E33" authorId="0" shapeId="0" xr:uid="{D2143FA5-54DD-4553-8C0A-370FEB7A30C4}">
      <text>
        <r>
          <rPr>
            <sz val="9"/>
            <color indexed="81"/>
            <rFont val="Tahoma"/>
            <family val="2"/>
          </rPr>
          <t xml:space="preserve">Samlet for nybygg og eksisterende bygg som beholdes (med eller uten rehabilitering)
</t>
        </r>
      </text>
    </comment>
    <comment ref="E39" authorId="0" shapeId="0" xr:uid="{6124D2DF-2115-4E56-9381-D62CB977830C}">
      <text>
        <r>
          <rPr>
            <sz val="9"/>
            <color indexed="81"/>
            <rFont val="Tahoma"/>
            <family val="2"/>
          </rPr>
          <t xml:space="preserve">Eksempel på input:
-10000 kWh/år
</t>
        </r>
      </text>
    </comment>
    <comment ref="C78" authorId="0" shapeId="0" xr:uid="{D003A4AD-08B7-4664-B325-25144B9F07BA}">
      <text>
        <r>
          <rPr>
            <sz val="9"/>
            <color indexed="81"/>
            <rFont val="Tahoma"/>
            <family val="2"/>
          </rPr>
          <t>Hvis resultater ikke er fordelt på nybyg og rehabilitert bygg skrives alle resultater inn under nybygg</t>
        </r>
      </text>
    </comment>
    <comment ref="C81" authorId="0" shapeId="0" xr:uid="{0188AB56-1FAC-4B2E-91B3-352BF2CA56D2}">
      <text>
        <r>
          <rPr>
            <b/>
            <sz val="9"/>
            <color indexed="81"/>
            <rFont val="Tahoma"/>
            <family val="2"/>
          </rPr>
          <t>Omfatter bygningsdelsnummer 2, i henhold til NS 3451</t>
        </r>
        <r>
          <rPr>
            <sz val="9"/>
            <color indexed="81"/>
            <rFont val="Tahoma"/>
            <family val="2"/>
          </rPr>
          <t xml:space="preserve">
 21 Grunn og fundament
</t>
        </r>
      </text>
    </comment>
    <comment ref="D81" authorId="0" shapeId="0" xr:uid="{A65F131B-D3C9-4E89-B878-E824231640E8}">
      <text>
        <r>
          <rPr>
            <sz val="9"/>
            <color indexed="81"/>
            <rFont val="Tahoma"/>
            <family val="2"/>
          </rPr>
          <t>Omfatter også behov for grunn og fundament i arealer under bakken</t>
        </r>
      </text>
    </comment>
    <comment ref="C82" authorId="0" shapeId="0" xr:uid="{6A55EDAC-8B07-4CDB-97C7-6B37D80816E7}">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 ref="AH82" authorId="0" shapeId="0" xr:uid="{7C9045B5-1C85-4C2F-AF0A-25B54EEB0E87}">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8" authorId="0" shapeId="0" xr:uid="{EF769471-5EDF-4BEE-A130-D16884E0711A}">
      <text>
        <r>
          <rPr>
            <sz val="9"/>
            <color indexed="81"/>
            <rFont val="Tahoma"/>
            <family val="2"/>
          </rPr>
          <t>Beskriv hvilke tiltak som skal gjøres for utslippsreduksjon i forbindelse med riving og/eller bevaring av eksisterende bebyggelse.</t>
        </r>
      </text>
    </comment>
    <comment ref="C9" authorId="0" shapeId="0" xr:uid="{004B0691-E640-4D73-BAC1-784BA46F54B6}">
      <text>
        <r>
          <rPr>
            <sz val="9"/>
            <color indexed="81"/>
            <rFont val="Tahoma"/>
            <family val="2"/>
          </rPr>
          <t>Beskriv hvilke tiltak som skal gjøres for å redusere utslipp fra materialbruk, herunder gjenbruk av byggematerialer og valg av lavutslippsmateriale.</t>
        </r>
      </text>
    </comment>
    <comment ref="C10" authorId="0" shapeId="0" xr:uid="{08E2766C-5BE0-4634-ABA8-62791E8830DD}">
      <text>
        <r>
          <rPr>
            <sz val="9"/>
            <color indexed="81"/>
            <rFont val="Tahoma"/>
            <family val="2"/>
          </rPr>
          <t>Beskriv hvilke tiltak som skal gjøres for å redusere energibehov, herunder bruk av lavutslipps energiløsninger i prosjektet.</t>
        </r>
      </text>
    </comment>
    <comment ref="C11" authorId="0" shapeId="0" xr:uid="{F2AC7843-B7F1-4623-A54C-0D982388D6DB}">
      <text>
        <r>
          <rPr>
            <sz val="9"/>
            <color indexed="81"/>
            <rFont val="Tahoma"/>
            <family val="2"/>
          </rPr>
          <t>Beskriv hvilke tiltak som skal gjøres for å redusere utslippene i bygge- og anleggsperioden.</t>
        </r>
      </text>
    </comment>
    <comment ref="G17" authorId="0" shapeId="0" xr:uid="{E3E2E1C9-0E87-4BB2-8616-C1D2ABEBF455}">
      <text>
        <r>
          <rPr>
            <sz val="9"/>
            <color indexed="81"/>
            <rFont val="Tahoma"/>
            <family val="2"/>
          </rPr>
          <t>Areal som tastes inn er areal etter en eventuell rehabilitering</t>
        </r>
      </text>
    </comment>
    <comment ref="K17" authorId="0" shapeId="0" xr:uid="{1BBBC93D-5408-4140-ACC3-A1C2DA578AC3}">
      <text>
        <r>
          <rPr>
            <sz val="9"/>
            <color indexed="81"/>
            <rFont val="Tahoma"/>
            <family val="2"/>
          </rPr>
          <t xml:space="preserve">Gjelder idrettsbygg og industri.
Fra gulv på grunn til underkant yttertak
</t>
        </r>
      </text>
    </comment>
    <comment ref="L17" authorId="0" shapeId="0" xr:uid="{A31E9C5C-8094-4F92-A4BA-868B1DEDED8D}">
      <text>
        <r>
          <rPr>
            <sz val="9"/>
            <color indexed="81"/>
            <rFont val="Tahoma"/>
            <family val="2"/>
          </rPr>
          <t>Samlet for nybygg og eksisterende bygg som beholdes (med eller uten rehabilitering)</t>
        </r>
      </text>
    </comment>
    <comment ref="E18" authorId="0" shapeId="0" xr:uid="{33DA6C74-7F41-4718-B8AD-EB6692A40F22}">
      <text>
        <r>
          <rPr>
            <b/>
            <sz val="9"/>
            <color indexed="81"/>
            <rFont val="Tahoma"/>
            <family val="2"/>
          </rPr>
          <t>Hva menes med ”oppvarmet bruksareal (BRA)”?</t>
        </r>
        <r>
          <rPr>
            <sz val="9"/>
            <color indexed="81"/>
            <rFont val="Tahoma"/>
            <family val="2"/>
          </rPr>
          <t xml:space="preserve">
Det oppvarmede bruksarealet i en bygning er i mange tilfeller et mindre areal enn bygningens bruksareal. Metoden for å beregne dette er angitt TEK17, § 14-1. Generelle krav.
Eksempler på areal som ofte ikke tas med i oppvarmet bruksareal, er garasje og utvendig bod. Oppvarmet areal er gjerne begrenset til areal innenfor isolerte yttervegger.
</t>
        </r>
      </text>
    </comment>
    <comment ref="AX28" authorId="0" shapeId="0" xr:uid="{0DE056C7-0D97-47AB-9A8E-A5039E95226E}">
      <text>
        <r>
          <rPr>
            <b/>
            <sz val="9"/>
            <color indexed="81"/>
            <rFont val="Tahoma"/>
            <family val="2"/>
          </rPr>
          <t>dagens år</t>
        </r>
        <r>
          <rPr>
            <sz val="9"/>
            <color indexed="81"/>
            <rFont val="Tahoma"/>
            <family val="2"/>
          </rPr>
          <t xml:space="preserve">
</t>
        </r>
      </text>
    </comment>
    <comment ref="AZ28" authorId="0" shapeId="0" xr:uid="{62E28313-49EB-42F1-9317-4DAACCD128F3}">
      <text>
        <r>
          <rPr>
            <b/>
            <sz val="9"/>
            <color indexed="81"/>
            <rFont val="Tahoma"/>
            <family val="2"/>
          </rPr>
          <t>basert på input</t>
        </r>
      </text>
    </comment>
    <comment ref="E33" authorId="0" shapeId="0" xr:uid="{AE7654F2-654A-4ACC-9070-96086907F25C}">
      <text>
        <r>
          <rPr>
            <sz val="9"/>
            <color indexed="81"/>
            <rFont val="Tahoma"/>
            <family val="2"/>
          </rPr>
          <t xml:space="preserve">Samlet for nybygg og eksisterende bygg som beholdes (med eller uten rehabilitering)
</t>
        </r>
      </text>
    </comment>
    <comment ref="E39" authorId="0" shapeId="0" xr:uid="{3D39E0EA-3B06-46FA-9B37-68C86F7DC214}">
      <text>
        <r>
          <rPr>
            <sz val="9"/>
            <color indexed="81"/>
            <rFont val="Tahoma"/>
            <family val="2"/>
          </rPr>
          <t xml:space="preserve">Eksempel på input:
-10000 kWh/år
</t>
        </r>
      </text>
    </comment>
    <comment ref="C78" authorId="0" shapeId="0" xr:uid="{DFAA6DA0-F67A-41FD-B352-662FAE8917C5}">
      <text>
        <r>
          <rPr>
            <sz val="9"/>
            <color indexed="81"/>
            <rFont val="Tahoma"/>
            <family val="2"/>
          </rPr>
          <t>Hvis resultater ikke er fordelt på nybyg og rehabilitert bygg skrives alle resultater inn under nybygg</t>
        </r>
      </text>
    </comment>
    <comment ref="C81" authorId="0" shapeId="0" xr:uid="{4E4C87C2-BD76-46D9-A0C3-78BC5469D414}">
      <text>
        <r>
          <rPr>
            <b/>
            <sz val="9"/>
            <color indexed="81"/>
            <rFont val="Tahoma"/>
            <family val="2"/>
          </rPr>
          <t>Omfatter bygningsdelsnummer 2, i henhold til NS 3451</t>
        </r>
        <r>
          <rPr>
            <sz val="9"/>
            <color indexed="81"/>
            <rFont val="Tahoma"/>
            <family val="2"/>
          </rPr>
          <t xml:space="preserve">
 21 Grunn og fundament
</t>
        </r>
      </text>
    </comment>
    <comment ref="D81" authorId="0" shapeId="0" xr:uid="{7603CA43-1C39-4871-8DE7-A404C2580ADF}">
      <text>
        <r>
          <rPr>
            <sz val="9"/>
            <color indexed="81"/>
            <rFont val="Tahoma"/>
            <family val="2"/>
          </rPr>
          <t>Omfatter også behov for grunn og fundament i arealer under bakken</t>
        </r>
      </text>
    </comment>
    <comment ref="C82" authorId="0" shapeId="0" xr:uid="{C21BB190-7B77-48BF-8811-92EC08ACFD4F}">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 ref="AH82" authorId="0" shapeId="0" xr:uid="{36D58CBC-A9F5-4992-ACD5-D5D36E0D700C}">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8" authorId="0" shapeId="0" xr:uid="{95918B8E-5A47-48D6-AAEF-4C960A916789}">
      <text>
        <r>
          <rPr>
            <sz val="9"/>
            <color indexed="81"/>
            <rFont val="Tahoma"/>
            <family val="2"/>
          </rPr>
          <t>Beskriv hvilke tiltak som skal gjøres for utslippsreduksjon i forbindelse med riving og/eller bevaring av eksisterende bebyggelse.</t>
        </r>
      </text>
    </comment>
    <comment ref="C9" authorId="0" shapeId="0" xr:uid="{F2B1E5DB-3A80-484A-96A5-E51D5D90C0B6}">
      <text>
        <r>
          <rPr>
            <sz val="9"/>
            <color indexed="81"/>
            <rFont val="Tahoma"/>
            <family val="2"/>
          </rPr>
          <t>Beskriv hvilke tiltak som skal gjøres for å redusere utslipp fra materialbruk, herunder gjenbruk av byggematerialer og valg av lavutslippsmateriale.</t>
        </r>
      </text>
    </comment>
    <comment ref="C10" authorId="0" shapeId="0" xr:uid="{14AC2209-A458-4896-8C1B-FD024431B972}">
      <text>
        <r>
          <rPr>
            <sz val="9"/>
            <color indexed="81"/>
            <rFont val="Tahoma"/>
            <family val="2"/>
          </rPr>
          <t>Beskriv hvilke tiltak som skal gjøres for å redusere energibehov, herunder bruk av lavutslipps energiløsninger i prosjektet.</t>
        </r>
      </text>
    </comment>
    <comment ref="C11" authorId="0" shapeId="0" xr:uid="{1FA2E7AB-3BEC-490B-807E-006A1B5BE86F}">
      <text>
        <r>
          <rPr>
            <sz val="9"/>
            <color indexed="81"/>
            <rFont val="Tahoma"/>
            <family val="2"/>
          </rPr>
          <t>Beskriv hvilke tiltak som skal gjøres for å redusere utslippene i bygge- og anleggsperioden.</t>
        </r>
      </text>
    </comment>
    <comment ref="G17" authorId="0" shapeId="0" xr:uid="{C1030762-9B88-40BC-891D-7B2D2283AA51}">
      <text>
        <r>
          <rPr>
            <sz val="9"/>
            <color indexed="81"/>
            <rFont val="Tahoma"/>
            <family val="2"/>
          </rPr>
          <t>Areal som tastes inn er areal etter en eventuell rehabilitering</t>
        </r>
      </text>
    </comment>
    <comment ref="K17" authorId="0" shapeId="0" xr:uid="{4EB00872-9962-442A-A625-780EAF5A34FB}">
      <text>
        <r>
          <rPr>
            <sz val="9"/>
            <color indexed="81"/>
            <rFont val="Tahoma"/>
            <family val="2"/>
          </rPr>
          <t xml:space="preserve">Gjelder idrettsbygg og industri.
Fra gulv på grunn til underkant yttertak
</t>
        </r>
      </text>
    </comment>
    <comment ref="L17" authorId="0" shapeId="0" xr:uid="{A2E573F2-528D-4AB3-8146-F896F3D7CB52}">
      <text>
        <r>
          <rPr>
            <sz val="9"/>
            <color indexed="81"/>
            <rFont val="Tahoma"/>
            <family val="2"/>
          </rPr>
          <t>Samlet for nybygg og eksisterende bygg som beholdes (med eller uten rehabilitering)</t>
        </r>
      </text>
    </comment>
    <comment ref="E18" authorId="0" shapeId="0" xr:uid="{A5538B38-8F7D-413B-B116-312D67F9D292}">
      <text>
        <r>
          <rPr>
            <b/>
            <sz val="9"/>
            <color indexed="81"/>
            <rFont val="Tahoma"/>
            <family val="2"/>
          </rPr>
          <t>Hva menes med ”oppvarmet bruksareal (BRA)”?</t>
        </r>
        <r>
          <rPr>
            <sz val="9"/>
            <color indexed="81"/>
            <rFont val="Tahoma"/>
            <family val="2"/>
          </rPr>
          <t xml:space="preserve">
Det oppvarmede bruksarealet i en bygning er i mange tilfeller et mindre areal enn bygningens bruksareal. Metoden for å beregne dette er angitt TEK17, § 14-1. Generelle krav.
Eksempler på areal som ofte ikke tas med i oppvarmet bruksareal, er garasje og utvendig bod. Oppvarmet areal er gjerne begrenset til areal innenfor isolerte yttervegger.
</t>
        </r>
      </text>
    </comment>
    <comment ref="AX28" authorId="0" shapeId="0" xr:uid="{B2030DF4-7090-4FD6-9FFF-4C6C5383B53F}">
      <text>
        <r>
          <rPr>
            <b/>
            <sz val="9"/>
            <color indexed="81"/>
            <rFont val="Tahoma"/>
            <family val="2"/>
          </rPr>
          <t>dagens år</t>
        </r>
        <r>
          <rPr>
            <sz val="9"/>
            <color indexed="81"/>
            <rFont val="Tahoma"/>
            <family val="2"/>
          </rPr>
          <t xml:space="preserve">
</t>
        </r>
      </text>
    </comment>
    <comment ref="AZ28" authorId="0" shapeId="0" xr:uid="{1EDC5376-8266-4620-B441-A161D9F667B3}">
      <text>
        <r>
          <rPr>
            <b/>
            <sz val="9"/>
            <color indexed="81"/>
            <rFont val="Tahoma"/>
            <family val="2"/>
          </rPr>
          <t>basert på input</t>
        </r>
      </text>
    </comment>
    <comment ref="E33" authorId="0" shapeId="0" xr:uid="{2017D806-BCC6-4F3E-994C-461B8A26EE5A}">
      <text>
        <r>
          <rPr>
            <sz val="9"/>
            <color indexed="81"/>
            <rFont val="Tahoma"/>
            <family val="2"/>
          </rPr>
          <t xml:space="preserve">Samlet for nybygg og eksisterende bygg som beholdes (med eller uten rehabilitering)
</t>
        </r>
      </text>
    </comment>
    <comment ref="E39" authorId="0" shapeId="0" xr:uid="{3565DCDD-441A-46E9-8970-3CFF1A0F5930}">
      <text>
        <r>
          <rPr>
            <sz val="9"/>
            <color indexed="81"/>
            <rFont val="Tahoma"/>
            <family val="2"/>
          </rPr>
          <t xml:space="preserve">Eksempel på input:
-10000 kWh/år
</t>
        </r>
      </text>
    </comment>
    <comment ref="C78" authorId="0" shapeId="0" xr:uid="{FF727337-FBD3-48A3-B013-B78C8F6B97AE}">
      <text>
        <r>
          <rPr>
            <sz val="9"/>
            <color indexed="81"/>
            <rFont val="Tahoma"/>
            <family val="2"/>
          </rPr>
          <t>Hvis resultater ikke er fordelt på nybyg og rehabilitert bygg skrives alle resultater inn under nybygg</t>
        </r>
      </text>
    </comment>
    <comment ref="C81" authorId="0" shapeId="0" xr:uid="{83DE23AC-BC27-4106-A665-905BD3BAEAA8}">
      <text>
        <r>
          <rPr>
            <b/>
            <sz val="9"/>
            <color indexed="81"/>
            <rFont val="Tahoma"/>
            <family val="2"/>
          </rPr>
          <t>Omfatter bygningsdelsnummer 2, i henhold til NS 3451</t>
        </r>
        <r>
          <rPr>
            <sz val="9"/>
            <color indexed="81"/>
            <rFont val="Tahoma"/>
            <family val="2"/>
          </rPr>
          <t xml:space="preserve">
 21 Grunn og fundament
</t>
        </r>
      </text>
    </comment>
    <comment ref="D81" authorId="0" shapeId="0" xr:uid="{925B65D3-E4EE-4711-B927-9FD7F8492EE0}">
      <text>
        <r>
          <rPr>
            <sz val="9"/>
            <color indexed="81"/>
            <rFont val="Tahoma"/>
            <family val="2"/>
          </rPr>
          <t>Omfatter også behov for grunn og fundament i arealer under bakken</t>
        </r>
      </text>
    </comment>
    <comment ref="C82" authorId="0" shapeId="0" xr:uid="{4CF76A0C-F5D9-4F83-8E33-21CE90804B0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 ref="AH82" authorId="0" shapeId="0" xr:uid="{5E041F43-9D6D-4B45-A6C8-E7020078EA0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8" authorId="0" shapeId="0" xr:uid="{FCD5BA33-C925-46F6-BFDB-2FDB2EFCB785}">
      <text>
        <r>
          <rPr>
            <sz val="9"/>
            <color indexed="81"/>
            <rFont val="Tahoma"/>
            <family val="2"/>
          </rPr>
          <t>Beskriv hvilke tiltak som skal gjøres for utslippsreduksjon i forbindelse med riving og/eller bevaring av eksisterende bebyggelse.</t>
        </r>
      </text>
    </comment>
    <comment ref="C9" authorId="0" shapeId="0" xr:uid="{34495AF1-966D-4116-9469-979020B2A8CE}">
      <text>
        <r>
          <rPr>
            <sz val="9"/>
            <color indexed="81"/>
            <rFont val="Tahoma"/>
            <family val="2"/>
          </rPr>
          <t>Beskriv hvilke tiltak som skal gjøres for å redusere utslipp fra materialbruk, herunder gjenbruk av byggematerialer og valg av lavutslippsmateriale.</t>
        </r>
      </text>
    </comment>
    <comment ref="C10" authorId="0" shapeId="0" xr:uid="{BD6C8779-E91D-4165-8D01-5C098F33E504}">
      <text>
        <r>
          <rPr>
            <sz val="9"/>
            <color indexed="81"/>
            <rFont val="Tahoma"/>
            <family val="2"/>
          </rPr>
          <t>Beskriv hvilke tiltak som skal gjøres for å redusere energibehov, herunder bruk av lavutslipps energiløsninger i prosjektet.</t>
        </r>
      </text>
    </comment>
    <comment ref="C11" authorId="0" shapeId="0" xr:uid="{08AD4D1F-C776-4534-B993-365E56B3C192}">
      <text>
        <r>
          <rPr>
            <sz val="9"/>
            <color indexed="81"/>
            <rFont val="Tahoma"/>
            <family val="2"/>
          </rPr>
          <t>Beskriv hvilke tiltak som skal gjøres for å redusere utslippene i bygge- og anleggsperioden.</t>
        </r>
      </text>
    </comment>
    <comment ref="G17" authorId="0" shapeId="0" xr:uid="{9C00E698-5A01-4402-9050-BE4EB8295BDD}">
      <text>
        <r>
          <rPr>
            <sz val="9"/>
            <color indexed="81"/>
            <rFont val="Tahoma"/>
            <family val="2"/>
          </rPr>
          <t>Areal som tastes inn er areal etter en eventuell rehabilitering</t>
        </r>
      </text>
    </comment>
    <comment ref="K17" authorId="0" shapeId="0" xr:uid="{294E8B08-949B-4530-8B15-ED352128EF59}">
      <text>
        <r>
          <rPr>
            <sz val="9"/>
            <color indexed="81"/>
            <rFont val="Tahoma"/>
            <family val="2"/>
          </rPr>
          <t xml:space="preserve">Gjelder idrettsbygg og industri.
Fra gulv på grunn til underkant yttertak
</t>
        </r>
      </text>
    </comment>
    <comment ref="L17" authorId="0" shapeId="0" xr:uid="{D49279A7-BA36-40C6-BFBA-486F53E997A3}">
      <text>
        <r>
          <rPr>
            <sz val="9"/>
            <color indexed="81"/>
            <rFont val="Tahoma"/>
            <family val="2"/>
          </rPr>
          <t>Samlet for nybygg og eksisterende bygg som beholdes (med eller uten rehabilitering)</t>
        </r>
      </text>
    </comment>
    <comment ref="E18" authorId="0" shapeId="0" xr:uid="{E5CEFB42-35DA-4D96-945C-520E48FB49D3}">
      <text>
        <r>
          <rPr>
            <b/>
            <sz val="9"/>
            <color indexed="81"/>
            <rFont val="Tahoma"/>
            <family val="2"/>
          </rPr>
          <t>Hva menes med ”oppvarmet bruksareal (BRA)”?</t>
        </r>
        <r>
          <rPr>
            <sz val="9"/>
            <color indexed="81"/>
            <rFont val="Tahoma"/>
            <family val="2"/>
          </rPr>
          <t xml:space="preserve">
Det oppvarmede bruksarealet i en bygning er i mange tilfeller et mindre areal enn bygningens bruksareal. Metoden for å beregne dette er angitt TEK17, § 14-1. Generelle krav.
Eksempler på areal som ofte ikke tas med i oppvarmet bruksareal, er garasje og utvendig bod. Oppvarmet areal er gjerne begrenset til areal innenfor isolerte yttervegger.
</t>
        </r>
      </text>
    </comment>
    <comment ref="AX28" authorId="0" shapeId="0" xr:uid="{ECEFE581-E8BB-459A-B8F2-49A7720158FD}">
      <text>
        <r>
          <rPr>
            <b/>
            <sz val="9"/>
            <color indexed="81"/>
            <rFont val="Tahoma"/>
            <family val="2"/>
          </rPr>
          <t>dagens år</t>
        </r>
        <r>
          <rPr>
            <sz val="9"/>
            <color indexed="81"/>
            <rFont val="Tahoma"/>
            <family val="2"/>
          </rPr>
          <t xml:space="preserve">
</t>
        </r>
      </text>
    </comment>
    <comment ref="AZ28" authorId="0" shapeId="0" xr:uid="{B5F1B78A-5657-4120-9577-2DBFF696E052}">
      <text>
        <r>
          <rPr>
            <b/>
            <sz val="9"/>
            <color indexed="81"/>
            <rFont val="Tahoma"/>
            <family val="2"/>
          </rPr>
          <t>basert på input</t>
        </r>
      </text>
    </comment>
    <comment ref="E33" authorId="0" shapeId="0" xr:uid="{0A215FC9-27F3-4650-B2CA-324D3546468B}">
      <text>
        <r>
          <rPr>
            <sz val="9"/>
            <color indexed="81"/>
            <rFont val="Tahoma"/>
            <family val="2"/>
          </rPr>
          <t xml:space="preserve">Samlet for nybygg og eksisterende bygg som beholdes (med eller uten rehabilitering)
</t>
        </r>
      </text>
    </comment>
    <comment ref="E39" authorId="0" shapeId="0" xr:uid="{4E6146F9-E504-43A4-90FD-43EC6A8F75BF}">
      <text>
        <r>
          <rPr>
            <sz val="9"/>
            <color indexed="81"/>
            <rFont val="Tahoma"/>
            <family val="2"/>
          </rPr>
          <t xml:space="preserve">Eksempel på input:
-10000 kWh/år
</t>
        </r>
      </text>
    </comment>
    <comment ref="C78" authorId="0" shapeId="0" xr:uid="{E1FF147D-EF07-4D46-99C3-B937A21F2F37}">
      <text>
        <r>
          <rPr>
            <sz val="9"/>
            <color indexed="81"/>
            <rFont val="Tahoma"/>
            <family val="2"/>
          </rPr>
          <t>Hvis resultater ikke er fordelt på nybyg og rehabilitert bygg skrives alle resultater inn under nybygg</t>
        </r>
      </text>
    </comment>
    <comment ref="C81" authorId="0" shapeId="0" xr:uid="{E729A48F-F8AE-4B2E-8208-74BF86742B39}">
      <text>
        <r>
          <rPr>
            <b/>
            <sz val="9"/>
            <color indexed="81"/>
            <rFont val="Tahoma"/>
            <family val="2"/>
          </rPr>
          <t>Omfatter bygningsdelsnummer 2, i henhold til NS 3451</t>
        </r>
        <r>
          <rPr>
            <sz val="9"/>
            <color indexed="81"/>
            <rFont val="Tahoma"/>
            <family val="2"/>
          </rPr>
          <t xml:space="preserve">
 21 Grunn og fundament
</t>
        </r>
      </text>
    </comment>
    <comment ref="D81" authorId="0" shapeId="0" xr:uid="{80BA0369-2C40-4A15-9CC4-19A5E87E2C75}">
      <text>
        <r>
          <rPr>
            <sz val="9"/>
            <color indexed="81"/>
            <rFont val="Tahoma"/>
            <family val="2"/>
          </rPr>
          <t>Omfatter også behov for grunn og fundament i arealer under bakken</t>
        </r>
      </text>
    </comment>
    <comment ref="C82" authorId="0" shapeId="0" xr:uid="{6B1386F1-80FC-4698-896A-83E965694A25}">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 ref="AH82" authorId="0" shapeId="0" xr:uid="{BCD58C73-C27A-4AB7-ACB4-1CD268F8A53A}">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8" authorId="0" shapeId="0" xr:uid="{5C695BAF-D2D4-48A7-BB63-B66F74DA6C51}">
      <text>
        <r>
          <rPr>
            <sz val="9"/>
            <color indexed="81"/>
            <rFont val="Tahoma"/>
            <family val="2"/>
          </rPr>
          <t>Beskriv hvilke tiltak som skal gjøres for utslippsreduksjon i forbindelse med riving og/eller bevaring av eksisterende bebyggelse.</t>
        </r>
      </text>
    </comment>
    <comment ref="C9" authorId="0" shapeId="0" xr:uid="{F751C063-DFC4-4D7A-9BB7-855C0EC4A58F}">
      <text>
        <r>
          <rPr>
            <sz val="9"/>
            <color indexed="81"/>
            <rFont val="Tahoma"/>
            <family val="2"/>
          </rPr>
          <t>Beskriv hvilke tiltak som skal gjøres for å redusere utslipp fra materialbruk, herunder gjenbruk av byggematerialer og valg av lavutslippsmateriale.</t>
        </r>
      </text>
    </comment>
    <comment ref="C10" authorId="0" shapeId="0" xr:uid="{55380B2C-89C0-4733-998B-C2CB49D30A80}">
      <text>
        <r>
          <rPr>
            <sz val="9"/>
            <color indexed="81"/>
            <rFont val="Tahoma"/>
            <family val="2"/>
          </rPr>
          <t>Beskriv hvilke tiltak som skal gjøres for å redusere energibehov, herunder bruk av lavutslipps energiløsninger i prosjektet.</t>
        </r>
      </text>
    </comment>
    <comment ref="C11" authorId="0" shapeId="0" xr:uid="{121C5F93-9955-4A6E-97FF-114D2FD43C90}">
      <text>
        <r>
          <rPr>
            <sz val="9"/>
            <color indexed="81"/>
            <rFont val="Tahoma"/>
            <family val="2"/>
          </rPr>
          <t>Beskriv hvilke tiltak som skal gjøres for å redusere utslippene i bygge- og anleggsperioden.</t>
        </r>
      </text>
    </comment>
    <comment ref="G17" authorId="0" shapeId="0" xr:uid="{635D5F11-BF77-4673-B793-CB38828FC9DD}">
      <text>
        <r>
          <rPr>
            <sz val="9"/>
            <color indexed="81"/>
            <rFont val="Tahoma"/>
            <family val="2"/>
          </rPr>
          <t>Areal som tastes inn er areal etter en eventuell rehabilitering</t>
        </r>
      </text>
    </comment>
    <comment ref="K17" authorId="0" shapeId="0" xr:uid="{22ACF7C6-90B8-4614-B662-F2B99CAF13D3}">
      <text>
        <r>
          <rPr>
            <sz val="9"/>
            <color indexed="81"/>
            <rFont val="Tahoma"/>
            <family val="2"/>
          </rPr>
          <t xml:space="preserve">Gjelder idrettsbygg og industri.
Fra gulv på grunn til underkant yttertak
</t>
        </r>
      </text>
    </comment>
    <comment ref="L17" authorId="0" shapeId="0" xr:uid="{CEA99A53-976B-4891-AED4-FD64180A6D2F}">
      <text>
        <r>
          <rPr>
            <sz val="9"/>
            <color indexed="81"/>
            <rFont val="Tahoma"/>
            <family val="2"/>
          </rPr>
          <t>Samlet for nybygg og eksisterende bygg som beholdes (med eller uten rehabilitering)</t>
        </r>
      </text>
    </comment>
    <comment ref="E18" authorId="0" shapeId="0" xr:uid="{5EE74001-30E8-40DA-9D43-0B0A7AC82CAC}">
      <text>
        <r>
          <rPr>
            <b/>
            <sz val="9"/>
            <color indexed="81"/>
            <rFont val="Tahoma"/>
            <family val="2"/>
          </rPr>
          <t>Hva menes med ”oppvarmet bruksareal (BRA)”?</t>
        </r>
        <r>
          <rPr>
            <sz val="9"/>
            <color indexed="81"/>
            <rFont val="Tahoma"/>
            <family val="2"/>
          </rPr>
          <t xml:space="preserve">
Det oppvarmede bruksarealet i en bygning er i mange tilfeller et mindre areal enn bygningens bruksareal. Metoden for å beregne dette er angitt TEK17, § 14-1. Generelle krav.
Eksempler på areal som ofte ikke tas med i oppvarmet bruksareal, er garasje og utvendig bod. Oppvarmet areal er gjerne begrenset til areal innenfor isolerte yttervegger.
</t>
        </r>
      </text>
    </comment>
    <comment ref="AX28" authorId="0" shapeId="0" xr:uid="{140B666E-62B4-446E-8996-23808AE8B28E}">
      <text>
        <r>
          <rPr>
            <b/>
            <sz val="9"/>
            <color indexed="81"/>
            <rFont val="Tahoma"/>
            <family val="2"/>
          </rPr>
          <t>dagens år</t>
        </r>
        <r>
          <rPr>
            <sz val="9"/>
            <color indexed="81"/>
            <rFont val="Tahoma"/>
            <family val="2"/>
          </rPr>
          <t xml:space="preserve">
</t>
        </r>
      </text>
    </comment>
    <comment ref="AZ28" authorId="0" shapeId="0" xr:uid="{434652B4-2665-4880-9BDE-3565A7ECE7A6}">
      <text>
        <r>
          <rPr>
            <b/>
            <sz val="9"/>
            <color indexed="81"/>
            <rFont val="Tahoma"/>
            <family val="2"/>
          </rPr>
          <t>basert på input</t>
        </r>
      </text>
    </comment>
    <comment ref="E33" authorId="0" shapeId="0" xr:uid="{AD7D21DE-D213-4F2C-B906-2D918DB95571}">
      <text>
        <r>
          <rPr>
            <sz val="9"/>
            <color indexed="81"/>
            <rFont val="Tahoma"/>
            <family val="2"/>
          </rPr>
          <t xml:space="preserve">Samlet for nybygg og eksisterende bygg som beholdes (med eller uten rehabilitering)
</t>
        </r>
      </text>
    </comment>
    <comment ref="E39" authorId="0" shapeId="0" xr:uid="{7158B638-481C-4DAB-A878-87D338395674}">
      <text>
        <r>
          <rPr>
            <sz val="9"/>
            <color indexed="81"/>
            <rFont val="Tahoma"/>
            <family val="2"/>
          </rPr>
          <t xml:space="preserve">Eksempel på input:
-10000 kWh/år
</t>
        </r>
      </text>
    </comment>
    <comment ref="C78" authorId="0" shapeId="0" xr:uid="{4743F149-0E52-437A-9B0C-F50485534869}">
      <text>
        <r>
          <rPr>
            <sz val="9"/>
            <color indexed="81"/>
            <rFont val="Tahoma"/>
            <family val="2"/>
          </rPr>
          <t>Hvis resultater ikke er fordelt på nybyg og rehabilitert bygg skrives alle resultater inn under nybygg</t>
        </r>
      </text>
    </comment>
    <comment ref="C81" authorId="0" shapeId="0" xr:uid="{3C39A74F-2D66-43D9-AA03-4F351C29FA9C}">
      <text>
        <r>
          <rPr>
            <b/>
            <sz val="9"/>
            <color indexed="81"/>
            <rFont val="Tahoma"/>
            <family val="2"/>
          </rPr>
          <t>Omfatter bygningsdelsnummer 2, i henhold til NS 3451</t>
        </r>
        <r>
          <rPr>
            <sz val="9"/>
            <color indexed="81"/>
            <rFont val="Tahoma"/>
            <family val="2"/>
          </rPr>
          <t xml:space="preserve">
 21 Grunn og fundament
</t>
        </r>
      </text>
    </comment>
    <comment ref="D81" authorId="0" shapeId="0" xr:uid="{E93BEAD6-21D9-49B0-8467-DAD5CCC4A0FC}">
      <text>
        <r>
          <rPr>
            <sz val="9"/>
            <color indexed="81"/>
            <rFont val="Tahoma"/>
            <family val="2"/>
          </rPr>
          <t>Omfatter også behov for grunn og fundament i arealer under bakken</t>
        </r>
      </text>
    </comment>
    <comment ref="C82" authorId="0" shapeId="0" xr:uid="{8BF74543-AE12-493C-8D33-0145E787A82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 ref="AH82" authorId="0" shapeId="0" xr:uid="{F11DBA69-DCE1-46B2-A5E9-7FE3DFD3E09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E67" authorId="0" shapeId="0" xr:uid="{4A28F685-8235-4CE8-83E9-63CF8E764DC7}">
      <text>
        <r>
          <rPr>
            <sz val="9"/>
            <color indexed="81"/>
            <rFont val="Tahoma"/>
            <family val="2"/>
          </rPr>
          <t xml:space="preserve">Anbefalt standard virknigsfaktor fra Fjernkontrollen.
Der hvor selskapene ikke har oppgitt spesifikke tall på hvor mye elektrisitet som er brukt i varmepumpen, har vi har i denne kalkulatoren brukt en generell COP-faktor på 3 for varmepumper i fjernvarmen. </t>
        </r>
      </text>
    </comment>
    <comment ref="E68" authorId="0" shapeId="0" xr:uid="{6BE4F9C5-DE76-469E-B922-A5F48543FC31}">
      <text>
        <r>
          <rPr>
            <sz val="9"/>
            <color indexed="81"/>
            <rFont val="Tahoma"/>
            <family val="2"/>
          </rPr>
          <t xml:space="preserve">Regneregel FB 0,86
Antatt 98%
</t>
        </r>
      </text>
    </comment>
  </commentList>
</comments>
</file>

<file path=xl/sharedStrings.xml><?xml version="1.0" encoding="utf-8"?>
<sst xmlns="http://schemas.openxmlformats.org/spreadsheetml/2006/main" count="3261" uniqueCount="584">
  <si>
    <t>Mal for klimagassberegninger i detaljreguleringsplaner</t>
  </si>
  <si>
    <t>Versjon</t>
  </si>
  <si>
    <t>Dato</t>
  </si>
  <si>
    <t>Plan- og bygningsetaten</t>
  </si>
  <si>
    <t>Beskrivelse</t>
  </si>
  <si>
    <r>
      <t xml:space="preserve">Denne malen er omfattet av </t>
    </r>
    <r>
      <rPr>
        <i/>
        <sz val="11"/>
        <color theme="1"/>
        <rFont val="Oslo Sans"/>
      </rPr>
      <t>Veiledning til klimagassberegninger i detaljreguleringsplaner</t>
    </r>
    <r>
      <rPr>
        <sz val="11"/>
        <color theme="1"/>
        <rFont val="Oslo Sans"/>
      </rPr>
      <t xml:space="preserve"> i plan- og byggesaker, for Plan- og bygningsetaten i Oslo kommune.</t>
    </r>
  </si>
  <si>
    <t xml:space="preserve">Mal og veileder er utviklet av </t>
  </si>
  <si>
    <t>Bygg- og anleggsvirksomhet står for en stor andel av klimagassutslippene. For å begrense klimagassutslippene er det som bygges er det viktig å gjøre beregninger av klimagassutslippet i en tidlig fase hvor mulighetene for å påvirke byggeprosjekters klimaprofil er størst. Dette er grunnen til at klimagassberegninger i detaljreguleringssaker er så viktige. 
For at det skal bli enklest mulig å lage klimagassberegninger har vi utviklet en mal for dette. Malen skal også gjøre det enklere å levere klimagassberegninger til plan- og bygningsetaten som treffer behovene i saksbehandlingen, skaper grunnlag for en konstruktiv dialog og som gir grunnlag for at saken er godt opplyst ved offentlig ettersyn og ved oversendelse til politisk behandling. Ved å standardisere klimagassberegninger vil det bli enklere for saksbehandlere og andre interessenter å forstå og vurdere klimagassberegningene som blir levert.   
Å samle inn klimagassberegninger vil gi kommunen erfaringstall og økt kunnskap om klimagassutslipp fra byutviklingen i Oslo, og kan brukes til å vurdere tiltak og virkemidler i fremtiden.  </t>
  </si>
  <si>
    <t>Veiledere</t>
  </si>
  <si>
    <t>Det henvises til følgende veiledere for ytterligere informasjon</t>
  </si>
  <si>
    <t>Veileder for fagkyndige</t>
  </si>
  <si>
    <t>Veileder for saksbehandlere</t>
  </si>
  <si>
    <t>Versjonslogg</t>
  </si>
  <si>
    <t>Revisjon</t>
  </si>
  <si>
    <t>1. utgave</t>
  </si>
  <si>
    <t>Resultater</t>
  </si>
  <si>
    <t>Denne fanen oppsummerer resultater av klimagassberegningene for de ulike alternativene. Hovedresultat (beregnet klimagassutslipp) er vist i rad merket med grønn farge (Sum, A1-C4).</t>
  </si>
  <si>
    <t>Malen tar utgangspunkt i definert omfang (bygningsdeler og livsløpsmoduler) i NS 3720 med omfang basis uten lokalisering. Utslipp fra grunnarbeider og arealbruksendringer er også inkludert.</t>
  </si>
  <si>
    <t>Beregnet klimagassutslipp fra alternativ</t>
  </si>
  <si>
    <t>antall</t>
  </si>
  <si>
    <t xml:space="preserve">Beregnet klimagassutslipp </t>
  </si>
  <si>
    <t>Alternativ 1</t>
  </si>
  <si>
    <t>Alternativ 2</t>
  </si>
  <si>
    <t>Alternativ 3</t>
  </si>
  <si>
    <t>Alternativ 4</t>
  </si>
  <si>
    <t>Alternativ 5</t>
  </si>
  <si>
    <t>Ref</t>
  </si>
  <si>
    <t>Modul</t>
  </si>
  <si>
    <t>Tonn CO2-ekv</t>
  </si>
  <si>
    <t>Sammenlikning</t>
  </si>
  <si>
    <t>Riving (eksisterende bygg), C1-C4</t>
  </si>
  <si>
    <t>Referanse</t>
  </si>
  <si>
    <t>Materialer (produksjon), A1-A4, fundamentering</t>
  </si>
  <si>
    <t>Riving (eksisterende bygg og bygg i fremtiden)</t>
  </si>
  <si>
    <t>Riving (eksisterende bygg)</t>
  </si>
  <si>
    <t>Materialer (produksjon, transport, utskifting), A1-A3, A4, B1-B5</t>
  </si>
  <si>
    <t>Materialer (produksjon, transport, utskifting)</t>
  </si>
  <si>
    <t>Byggeplass (kapp, svinn, avfall, energi og massetransport), A5</t>
  </si>
  <si>
    <t>Byggeplass (kapp, svinn, avfall, energi og massetransport)</t>
  </si>
  <si>
    <t>Energibruk i drift, B6</t>
  </si>
  <si>
    <t>Energibruk i drift</t>
  </si>
  <si>
    <t>Arealbruksendring (nedbygging og nyetablering), A5, B1</t>
  </si>
  <si>
    <t>Arealbruksendring (nedbygging og nyetablering)</t>
  </si>
  <si>
    <t>Riving (bygg i fremtiden), C1-C4</t>
  </si>
  <si>
    <t>Riving (bygg i fremtiden)</t>
  </si>
  <si>
    <t>B8: Transport i drift, tonn CO2-ekv (ikke obligatorisk)</t>
  </si>
  <si>
    <t>D: Restutslipp bygg som rives før 50 års levetid, tonn CO2-ekv</t>
  </si>
  <si>
    <t>Andre resultater, A1-C4</t>
  </si>
  <si>
    <t>Total utslipp per BTA i byggets levetid (kg CO2-elv/m2 BTA) </t>
  </si>
  <si>
    <t>Total utslipp per oppvarmet BRA i byggets levetid (kg CO2-ekv/m2 BRA) </t>
  </si>
  <si>
    <t>Total utslipp per person/bruker i byggets levetid (tonn CO2-ekv/bruker) </t>
  </si>
  <si>
    <t>Antall brukere</t>
  </si>
  <si>
    <t>Arealer</t>
  </si>
  <si>
    <t>Arealtype, se under fanen "Alternativ" for detaljer</t>
  </si>
  <si>
    <t>Oppvarmet BRA</t>
  </si>
  <si>
    <t>BTA</t>
  </si>
  <si>
    <t>Nybygg, m2, over bakken</t>
  </si>
  <si>
    <t>Eksisterende bygg som rehabiliteres, m2, over bakken</t>
  </si>
  <si>
    <t>Eksisterende bygg som rives, m2, over bakken</t>
  </si>
  <si>
    <t>Areal under bakken, oppvarmet (sum av nybygg og eksisterende)</t>
  </si>
  <si>
    <t>Areal under bakken, parkeringskjeller o.l. (sum av nybygg og eksisterende)</t>
  </si>
  <si>
    <t>Araler, nybygg og eksiterende som rebahbiliteres</t>
  </si>
  <si>
    <t>Resultatfigurer</t>
  </si>
  <si>
    <t>Figur: Totale klimagassutslipp for ulike alternativer, tonn CO2 ekv over beregningsperioden.</t>
  </si>
  <si>
    <t>Figur: Klimagassutslipp for ulike alternativer, i kg CO2 ekv/m2 oppvarmet BRA</t>
  </si>
  <si>
    <t>Figur: Klimagassutslipp for ulike alternativer, i tonn CO2 ekv/bruker</t>
  </si>
  <si>
    <t>Info om prosjektet</t>
  </si>
  <si>
    <t>Fyll ut informasjon i celler som er merket med blå farge</t>
  </si>
  <si>
    <t>Klimaberegninger utført av</t>
  </si>
  <si>
    <t>Firma</t>
  </si>
  <si>
    <t>Person</t>
  </si>
  <si>
    <t>Fyll inn data</t>
  </si>
  <si>
    <t>Saksnummer</t>
  </si>
  <si>
    <t>Plannavn/Adresse</t>
  </si>
  <si>
    <t>Gårdnummer</t>
  </si>
  <si>
    <t>Bruksnummer</t>
  </si>
  <si>
    <t>Velg fase</t>
  </si>
  <si>
    <t>Utfylt av</t>
  </si>
  <si>
    <t>1. gangsbehandling</t>
  </si>
  <si>
    <t>Datert</t>
  </si>
  <si>
    <t>Flytte noe til materailer, energi osv?</t>
  </si>
  <si>
    <t>2 gangsbehandling</t>
  </si>
  <si>
    <t>Fase i prosessen hvor beregning er utført</t>
  </si>
  <si>
    <t>Ferdigattest*</t>
  </si>
  <si>
    <t>Rammesøknad</t>
  </si>
  <si>
    <t>Alternativ</t>
  </si>
  <si>
    <t>Verktøy</t>
  </si>
  <si>
    <t>Velg antall</t>
  </si>
  <si>
    <t>Velg verktøy</t>
  </si>
  <si>
    <t>*kreves ikke av Oslo kommune, men er et krav i Byggteknisk forskrift (TEK17, §17.1).</t>
  </si>
  <si>
    <t>Kommentar</t>
  </si>
  <si>
    <t>Reduzer</t>
  </si>
  <si>
    <t>Hvor mange alternativ er utredet?</t>
  </si>
  <si>
    <t>OneClick LCA</t>
  </si>
  <si>
    <t>Verktøy for klimaberegninger</t>
  </si>
  <si>
    <t>ISY Calcus</t>
  </si>
  <si>
    <t>Datagrunnlag</t>
  </si>
  <si>
    <t>Velg datagrunnlag</t>
  </si>
  <si>
    <t>Annet (spesifiser)</t>
  </si>
  <si>
    <t>Beregningsperiode for bygget (50 år standard)</t>
  </si>
  <si>
    <t>Resultater er beregnet med følgende GWP faktor</t>
  </si>
  <si>
    <t>Velg GWP faktor</t>
  </si>
  <si>
    <t>GWP</t>
  </si>
  <si>
    <t>Antatt byggestart (år)</t>
  </si>
  <si>
    <t>GWP (usikker, men uten biogent karbon)</t>
  </si>
  <si>
    <t>GWP (usikker)</t>
  </si>
  <si>
    <t>Referansebygg i verktøy</t>
  </si>
  <si>
    <t>Innstillinger som skal benyttes i Reduzer</t>
  </si>
  <si>
    <t>Innstillinger som skal benyttes i OneClick LCA (LCA parametere)</t>
  </si>
  <si>
    <t>Innstillinger som skal benyttes i LCA verktøy</t>
  </si>
  <si>
    <t>GWP fossil</t>
  </si>
  <si>
    <t>DFØ/referansebygg ikke justert/tilpasset</t>
  </si>
  <si>
    <t>Beregninger basert på NS3720</t>
  </si>
  <si>
    <t>Brukstid for materialer (obligatorisk): Norge DFØ standard levetid</t>
  </si>
  <si>
    <t>DFØ Kriterieveiviser, Nybygg og rehabilitering, Klimagasskrav for hele bygget, Dokumentasjon av endringer i referansenivåer</t>
  </si>
  <si>
    <t>GWP IOBC</t>
  </si>
  <si>
    <t>DFØ/referanse justert/tilpasset</t>
  </si>
  <si>
    <t>DFØ instillinger</t>
  </si>
  <si>
    <t>Transportavstandsverdier for materialer: Norge DFØ</t>
  </si>
  <si>
    <t>Utslippsfaktor for transport (A4), transportdistander og leveider fra dokumentasjon DFØ</t>
  </si>
  <si>
    <t>Mengder fra modell</t>
  </si>
  <si>
    <t>Lokaliseringsmetode for materialproduksjon: Deaktiver materiallokalisering</t>
  </si>
  <si>
    <t>Mengder fra kalkyle</t>
  </si>
  <si>
    <t>Prosjektbeskrivelse</t>
  </si>
  <si>
    <t>Kalkylemetode for endt livsløp: Markedsscenarioer</t>
  </si>
  <si>
    <t>Kombinasjon (spesifiser)</t>
  </si>
  <si>
    <t>Gi en kort oppsummering av klimagassberegningene:</t>
  </si>
  <si>
    <t>Overordnet klimamål i prosjektet:</t>
  </si>
  <si>
    <t>flytt til generelt</t>
  </si>
  <si>
    <t>Dato for siste revisjon av beregninger</t>
  </si>
  <si>
    <t>Om prosjektet:</t>
  </si>
  <si>
    <t>Eksernt rapport som dokumenterer klimaberegninger</t>
  </si>
  <si>
    <t>Om resultatet:</t>
  </si>
  <si>
    <t>Eventuelle avvik fra rapportmal/føringer i veilederen for klimagassberegninger:</t>
  </si>
  <si>
    <t>Beskrivelse av usikkerhet. Eksempel er vurdering av datakvalitet (mengder, arealer), bruk av utslippsfaktorer og resultater:</t>
  </si>
  <si>
    <t>Usikker på om dette under skal være med</t>
  </si>
  <si>
    <t>Gi en kort beskrivelse av prosjektet.</t>
  </si>
  <si>
    <t>Sett inn figur for eksisterende situasjon</t>
  </si>
  <si>
    <t>Sett inn figur for ny situasjon - nybygg</t>
  </si>
  <si>
    <t>Sett inn figur for ny situasjon - bevaring</t>
  </si>
  <si>
    <t>Skjules</t>
  </si>
  <si>
    <t>Navn på alternativ</t>
  </si>
  <si>
    <r>
      <t xml:space="preserve">Tiltak: </t>
    </r>
    <r>
      <rPr>
        <sz val="10"/>
        <color theme="1"/>
        <rFont val="Oslo Sans"/>
      </rPr>
      <t>Beskrivelse tiltak på bygg, hva er inkludert i beregninger og hvorfor er resultater slik de er oppgitt? Hva er sikret av tiltak i videre fase?</t>
    </r>
  </si>
  <si>
    <t>Bevaring av eksisterende bebyggelse</t>
  </si>
  <si>
    <t>Parkeringskjeller og tilsvarende</t>
  </si>
  <si>
    <t>Materialbruk:</t>
  </si>
  <si>
    <t>Oppvarmet areal</t>
  </si>
  <si>
    <t>Energibehov, valg av energiløsninger og energikilder</t>
  </si>
  <si>
    <t>Bygge- og anleggsperiode</t>
  </si>
  <si>
    <r>
      <rPr>
        <b/>
        <sz val="10"/>
        <color theme="1"/>
        <rFont val="Oslo Sans"/>
      </rPr>
      <t>Obligatorisk</t>
    </r>
    <r>
      <rPr>
        <sz val="10"/>
        <color theme="1"/>
        <rFont val="Oslo Sans"/>
      </rPr>
      <t>: Fyll ut obligatorisk informasjon i celler som er merket med blå farge</t>
    </r>
  </si>
  <si>
    <r>
      <rPr>
        <b/>
        <sz val="10"/>
        <color theme="1"/>
        <rFont val="Oslo Sans"/>
      </rPr>
      <t>Ikke obligatorisk:</t>
    </r>
    <r>
      <rPr>
        <sz val="10"/>
        <color theme="1"/>
        <rFont val="Oslo Sans"/>
      </rPr>
      <t xml:space="preserve"> Fyll ut valgfri informasjon i celler som er merket med grønn farge</t>
    </r>
  </si>
  <si>
    <t>Beregninger</t>
  </si>
  <si>
    <t>Beregnet utslipp, basert på areal, kg CO2 e</t>
  </si>
  <si>
    <t>Areal og funksjon</t>
  </si>
  <si>
    <t>Bygningskategori</t>
  </si>
  <si>
    <t>Nybygg, m2</t>
  </si>
  <si>
    <t>Bygg som beholdes/
rehabiliteres, m2</t>
  </si>
  <si>
    <t>Bygg som rives, m2</t>
  </si>
  <si>
    <t>Innvendig høyde bygg, m</t>
  </si>
  <si>
    <t>Funksjon</t>
  </si>
  <si>
    <t>kg CO2 e/m2 BTA</t>
  </si>
  <si>
    <t>Nybygg</t>
  </si>
  <si>
    <t>Bygg som beholdes/rehabiliteres, m2</t>
  </si>
  <si>
    <t>Antall</t>
  </si>
  <si>
    <t>Enhet</t>
  </si>
  <si>
    <t>vise høyde, 1=ja, 0=nei</t>
  </si>
  <si>
    <t>vise funksjon</t>
  </si>
  <si>
    <t>A1-A3</t>
  </si>
  <si>
    <t>A4</t>
  </si>
  <si>
    <t>A5 (kapp og svinn)</t>
  </si>
  <si>
    <t>B2, B4</t>
  </si>
  <si>
    <t>C1-C4</t>
  </si>
  <si>
    <t>Areal over bakken 1:</t>
  </si>
  <si>
    <t>Velg arealtype</t>
  </si>
  <si>
    <t>Areal over bakken 2:</t>
  </si>
  <si>
    <t>Areal over bakken 3:</t>
  </si>
  <si>
    <t>Areal over bakken 4:</t>
  </si>
  <si>
    <t>Areal under bakken 1:</t>
  </si>
  <si>
    <t>Areal under bakken 2:</t>
  </si>
  <si>
    <t>Fundamentering</t>
  </si>
  <si>
    <t>Snitt dybde til fjell, meter</t>
  </si>
  <si>
    <t>Bebygd areal (BYA)</t>
  </si>
  <si>
    <t>Samlet fotavtrykk, m2</t>
  </si>
  <si>
    <t>Sum</t>
  </si>
  <si>
    <t>Byggeår</t>
  </si>
  <si>
    <t>År</t>
  </si>
  <si>
    <t>Antall bosatte i leiligheter, inkl barn 0-17 år</t>
  </si>
  <si>
    <t>Justert antall</t>
  </si>
  <si>
    <t>over</t>
  </si>
  <si>
    <t>Byggestart</t>
  </si>
  <si>
    <t>Leiligheter: antall personer per privathusholdning, Oslo kommune</t>
  </si>
  <si>
    <t>Standard 1,95. SSB tabell 09747, år 2024</t>
  </si>
  <si>
    <t>stk/husholdning</t>
  </si>
  <si>
    <t>under</t>
  </si>
  <si>
    <t>Bygg er fra</t>
  </si>
  <si>
    <t>Levetid bygg</t>
  </si>
  <si>
    <t>år</t>
  </si>
  <si>
    <t>Restlevetid, 50 år</t>
  </si>
  <si>
    <t>Energi i drift (B6)</t>
  </si>
  <si>
    <t>Levert energi</t>
  </si>
  <si>
    <t>Beregning solceller</t>
  </si>
  <si>
    <t>Restutslipp</t>
  </si>
  <si>
    <t>Beregnet levert strøm</t>
  </si>
  <si>
    <t>Ikke inkludert produksjon fra solceller</t>
  </si>
  <si>
    <t>kWh, pr år</t>
  </si>
  <si>
    <t xml:space="preserve">Antall tilgjengelige arbeidsplasser </t>
  </si>
  <si>
    <t xml:space="preserve">arbeidsplasser, </t>
  </si>
  <si>
    <t>Beregnet levert fjernvarme</t>
  </si>
  <si>
    <t>Beregnet levert energi fjernvarme</t>
  </si>
  <si>
    <t>Antall leiligheter</t>
  </si>
  <si>
    <t>Energiberegning</t>
  </si>
  <si>
    <t>Annen kilde, spesifiser</t>
  </si>
  <si>
    <t>tonn CO2 e</t>
  </si>
  <si>
    <t>Antall tilgjengelig elevplasser</t>
  </si>
  <si>
    <t xml:space="preserve">elevplasser, </t>
  </si>
  <si>
    <t>Totalt levert energi, kWh/år</t>
  </si>
  <si>
    <t>Utslippsfaktor, annen kilde</t>
  </si>
  <si>
    <t>Fossilt utslipp, kg CO2 ekv/kWh</t>
  </si>
  <si>
    <t>kg CO2 ekv/kWh</t>
  </si>
  <si>
    <t>Benytter oppvarmet BRA</t>
  </si>
  <si>
    <t>Totalt areal, m2 BRA</t>
  </si>
  <si>
    <t>A</t>
  </si>
  <si>
    <t>B</t>
  </si>
  <si>
    <t>C</t>
  </si>
  <si>
    <t>D</t>
  </si>
  <si>
    <t>E</t>
  </si>
  <si>
    <t>F</t>
  </si>
  <si>
    <t>Areal solceller</t>
  </si>
  <si>
    <t>m2</t>
  </si>
  <si>
    <t>Vise justering leilighet</t>
  </si>
  <si>
    <t>Antall beboere</t>
  </si>
  <si>
    <t xml:space="preserve">beboere på sykehjem, </t>
  </si>
  <si>
    <t>Småhus/rekkehus</t>
  </si>
  <si>
    <t>Levert strøm fra solceller</t>
  </si>
  <si>
    <t>Produsert strøm pr år (negativt tall)</t>
  </si>
  <si>
    <t>Leilighet</t>
  </si>
  <si>
    <t>dette brukes</t>
  </si>
  <si>
    <t>Antall bosatte</t>
  </si>
  <si>
    <t xml:space="preserve">bosatte, </t>
  </si>
  <si>
    <t>Boligblokk</t>
  </si>
  <si>
    <t>Detaljert i energiberegninger</t>
  </si>
  <si>
    <t>Produksjon PV</t>
  </si>
  <si>
    <t>Antall plasser for barn</t>
  </si>
  <si>
    <t xml:space="preserve">plasser for barn, </t>
  </si>
  <si>
    <t>Barnehage</t>
  </si>
  <si>
    <t>Datagrunnlag energi</t>
  </si>
  <si>
    <t>Stanadrd basert på energiklasse</t>
  </si>
  <si>
    <t>Antall besøkende pr år</t>
  </si>
  <si>
    <t xml:space="preserve">besøkende pr år, </t>
  </si>
  <si>
    <t>Kontorbygg</t>
  </si>
  <si>
    <t>Beregning arealbruksendring</t>
  </si>
  <si>
    <t>Antall senger</t>
  </si>
  <si>
    <t xml:space="preserve">hotellsenger, </t>
  </si>
  <si>
    <t>Skolebygg</t>
  </si>
  <si>
    <t>Solceller</t>
  </si>
  <si>
    <t>Valg</t>
  </si>
  <si>
    <t>A5</t>
  </si>
  <si>
    <t>Antall parkeringsplasser</t>
  </si>
  <si>
    <t>Sykehjem</t>
  </si>
  <si>
    <t>Inkluderer beregnet klimagassutslipp utslipp fra produksjon og montering av solceller?*</t>
  </si>
  <si>
    <t>Nei</t>
  </si>
  <si>
    <t>Vise solcelle</t>
  </si>
  <si>
    <t>kg CO2 e</t>
  </si>
  <si>
    <t>Hotellbygning</t>
  </si>
  <si>
    <t>Vises?</t>
  </si>
  <si>
    <t>Velg: ja/nei</t>
  </si>
  <si>
    <t>Standard</t>
  </si>
  <si>
    <t>Idrettsbygning</t>
  </si>
  <si>
    <t>Ja</t>
  </si>
  <si>
    <t>Valg antall p/leilighet</t>
  </si>
  <si>
    <t>Forretning/næringsbygg</t>
  </si>
  <si>
    <t>Kulturbygning</t>
  </si>
  <si>
    <t>Masser og arealbruk</t>
  </si>
  <si>
    <t>Avstand, km, en vei (50 km standard, kan justeres)</t>
  </si>
  <si>
    <t>Volum</t>
  </si>
  <si>
    <t>Drivstoff</t>
  </si>
  <si>
    <t>Antall bosatte i leilighet og bolig</t>
  </si>
  <si>
    <t>Lett industri/verksteder</t>
  </si>
  <si>
    <t>Masser</t>
  </si>
  <si>
    <t>Masser ut, volum</t>
  </si>
  <si>
    <t>pfm3</t>
  </si>
  <si>
    <t>Velg drivstoff</t>
  </si>
  <si>
    <t>Beregning massetransport</t>
  </si>
  <si>
    <t>B1</t>
  </si>
  <si>
    <t>Utslipp</t>
  </si>
  <si>
    <t>Masser inn, volum</t>
  </si>
  <si>
    <t>Arealbeslag (arealtyper som bygges ned)</t>
  </si>
  <si>
    <t>Areal</t>
  </si>
  <si>
    <t>kg CO2 e/pfm km</t>
  </si>
  <si>
    <t>Skog - Lav bonitet </t>
  </si>
  <si>
    <t>Veidiesel</t>
  </si>
  <si>
    <t>kg CO2 e/liter</t>
  </si>
  <si>
    <t>Skog - Middels bonitet </t>
  </si>
  <si>
    <t>Elektrisk kjøretøy</t>
  </si>
  <si>
    <t>Skog - Høy bonitet </t>
  </si>
  <si>
    <t>Biogass</t>
  </si>
  <si>
    <t>kg CO2e/kg</t>
  </si>
  <si>
    <t>Utslipp transport</t>
  </si>
  <si>
    <t>Myr (dybde 2 meter)</t>
  </si>
  <si>
    <t>Kapasitet</t>
  </si>
  <si>
    <t>pfm/lass</t>
  </si>
  <si>
    <t>stk</t>
  </si>
  <si>
    <t>Etablering av nytt terreng og grønne flater</t>
  </si>
  <si>
    <t>Areal/stk</t>
  </si>
  <si>
    <t>Massetransport (bil)</t>
  </si>
  <si>
    <t>l/km</t>
  </si>
  <si>
    <t>VegLCA 5.14b</t>
  </si>
  <si>
    <t>Snitt forbruk: 0,45 l/km. Tetthet fjell: 2,7 tonn/pfm3. Kapasitet: 25 tonn/lass eller 9,3 pfm/lass</t>
  </si>
  <si>
    <t>Areal med busksjikt, liten, under en meter høyde</t>
  </si>
  <si>
    <t>Elbil</t>
  </si>
  <si>
    <t>kWh el per liter diesel</t>
  </si>
  <si>
    <t>Areal med busksjikt, medium, mellom en og to meter høyde</t>
  </si>
  <si>
    <t>Forbruk biogass</t>
  </si>
  <si>
    <t>Sm3/km</t>
  </si>
  <si>
    <t>Buss 18 m</t>
  </si>
  <si>
    <t>https://www.mjosanlegget.no/wp-content/uploads/2019/10/Endrava_biogass_klimatiltak_buss_rev1-1.pdf</t>
  </si>
  <si>
    <t>Areal med busksjikt, stor, over to meter høyde</t>
  </si>
  <si>
    <t>https://norsus.no/wp-content/uploads/or0719-tilpasning-av-tyngre-kjoeretoey-og-anleggsmaskiner-for-drift-med-biogass-2019.pdf</t>
  </si>
  <si>
    <t>Grønne overflater (gressarmert dekke), mineraljord</t>
  </si>
  <si>
    <t>kg/SM3</t>
  </si>
  <si>
    <t>Store trær – fremtidig høyde over 15 meter</t>
  </si>
  <si>
    <t>Medium trær – fremtidig høyde mellom 10 og 15 meter</t>
  </si>
  <si>
    <t>Beregnet utslipp fra transport</t>
  </si>
  <si>
    <t>Små trær – fremtidig høyde under 10 meter</t>
  </si>
  <si>
    <t>Standard avstand</t>
  </si>
  <si>
    <t>Tur retur</t>
  </si>
  <si>
    <t>Beregnet</t>
  </si>
  <si>
    <t>tonn CO2e</t>
  </si>
  <si>
    <t xml:space="preserve">Alternativ 1: Resultat. Tabell for beregnet klimagassutslipp </t>
  </si>
  <si>
    <t>Moduler (Klimagassregnskapet skal ikke inkludere biogent karbon)</t>
  </si>
  <si>
    <t>Sammenlikning mot referanse</t>
  </si>
  <si>
    <t>skjules</t>
  </si>
  <si>
    <t>Nybygg over bakken</t>
  </si>
  <si>
    <t>Bygg som beholdes/
rehabiliteres/
rives, m2</t>
  </si>
  <si>
    <t>Nybygg og reha-bilitering areal under bakken</t>
  </si>
  <si>
    <t>Rød, fra%</t>
  </si>
  <si>
    <t>Gul, fra %</t>
  </si>
  <si>
    <t>Grønn, fra%</t>
  </si>
  <si>
    <t>Grå, fra</t>
  </si>
  <si>
    <t>Rivefase og avfallshåndtering av eksisterende areal (C1-C4 for eksisterende areal)</t>
  </si>
  <si>
    <t>Over referanse</t>
  </si>
  <si>
    <t>N/A</t>
  </si>
  <si>
    <t>ingen riving</t>
  </si>
  <si>
    <t xml:space="preserve">A1-A4: Produksjon og transport av materialer -  21 Grunn og fundament </t>
  </si>
  <si>
    <t>A1-A3: Produksjon av materialer - kapittel 22-28</t>
  </si>
  <si>
    <t>A4: Transport av materialer fra produksjonssted til bggeplass</t>
  </si>
  <si>
    <t>A5a: Byggeplass, materialbruk, avfall, kapp og svinn ved bygging</t>
  </si>
  <si>
    <t>A5b: Byggeplass, energibruk byggeaktiviteter (ekskl. massetransport)</t>
  </si>
  <si>
    <t>A5c: Byggeplass, transport av masser</t>
  </si>
  <si>
    <t>A5d: Arealbruksendringer/arealbeslag ved bygging (nedbygging av natur)</t>
  </si>
  <si>
    <t>Netto utslipp fra arealbruksendringer</t>
  </si>
  <si>
    <t>Ingen nedbygging av natur</t>
  </si>
  <si>
    <t>Netto økt opptak av CO2</t>
  </si>
  <si>
    <t>B1: Karbonbinding ved nyetablering av arealtyper (etablering av natur)</t>
  </si>
  <si>
    <t>C1-C4: Rivning, transport, avfallsbehandling og avhending</t>
  </si>
  <si>
    <t>A1-C4: Solceller (beregnet basert på areal)</t>
  </si>
  <si>
    <t>Sum, A1-C4</t>
  </si>
  <si>
    <t>Moduler som ikke inkluderes i resultatfanen</t>
  </si>
  <si>
    <t>B8: Transport i drift</t>
  </si>
  <si>
    <t>Utslippsfaktor, kg CO2 e/kWh</t>
  </si>
  <si>
    <t>Utslipp fra forbrenning av avfall i fjernvarmemiks er utelatt</t>
  </si>
  <si>
    <t>Strøm</t>
  </si>
  <si>
    <t>Fjernvarme</t>
  </si>
  <si>
    <t>Annen kilde</t>
  </si>
  <si>
    <t>Scenario 1 NS3720: NO miks</t>
  </si>
  <si>
    <t>tonn CO2 ekv</t>
  </si>
  <si>
    <t>kWh/år</t>
  </si>
  <si>
    <t>Scenario 2 NS3720: NO + EU miks</t>
  </si>
  <si>
    <t>FV</t>
  </si>
  <si>
    <t>Annen</t>
  </si>
  <si>
    <t>Solcelle</t>
  </si>
  <si>
    <t>Utslipp fra forbrenning av avfall i fjernvarmemiks er inkludert, hvor det er benyttet en 50/50 allokering av utslipp til energigjenvinning/slutthåndtering av avfall, iht. Europakommisjonens PEF, OEF guide og FutureBuilt ZERO.</t>
  </si>
  <si>
    <t>Antall år</t>
  </si>
  <si>
    <t>Scenario 2 NS3720: NO + EU miks (denne benyttes som standard)</t>
  </si>
  <si>
    <t>Mulighet for detaljerte resultater, alternativ 1</t>
  </si>
  <si>
    <t>Vise tabeller?</t>
  </si>
  <si>
    <t>Nybygg, tonn CO2 ekv over 50 år</t>
  </si>
  <si>
    <t>Bygningsdel </t>
  </si>
  <si>
    <t xml:space="preserve">A1-A4: kap 21: Grunn og fundament </t>
  </si>
  <si>
    <t>A1-A3: Produksjon av materialer - kapittel 22-28 (uten solceller og andre installasjoner for energiproduksjon)</t>
  </si>
  <si>
    <t>B1-B5, Drift og vedlikehold, 50 år</t>
  </si>
  <si>
    <t>B6: Energi i drift, 50 år</t>
  </si>
  <si>
    <t>A1-C4: Solceller og andre installasjoner for energiproduksjon</t>
  </si>
  <si>
    <t>Annet: legg inn beskrivelse</t>
  </si>
  <si>
    <t>21 Grunn og fundament</t>
  </si>
  <si>
    <t>Valg i verktøy</t>
  </si>
  <si>
    <t>DFØ referanse</t>
  </si>
  <si>
    <t>Referansebygg</t>
  </si>
  <si>
    <t>22 Bæresystem</t>
  </si>
  <si>
    <t>tom</t>
  </si>
  <si>
    <t>23 Yttervegger </t>
  </si>
  <si>
    <t>Kontor: arbeidsplasser</t>
  </si>
  <si>
    <t>24 Innervegger </t>
  </si>
  <si>
    <t>Boligblokk: leiligheter</t>
  </si>
  <si>
    <t>GÅ over siden - rett opp fanen</t>
  </si>
  <si>
    <t>25 Gulv på grunn, dekker og overflater </t>
  </si>
  <si>
    <t>Skole: elever</t>
  </si>
  <si>
    <t>26 Yttertak </t>
  </si>
  <si>
    <t>Forretning/næring: areal</t>
  </si>
  <si>
    <t>Oppvarmet areal BRA</t>
  </si>
  <si>
    <t>m2 BRA</t>
  </si>
  <si>
    <t>28 Trapp, heis og balkonger </t>
  </si>
  <si>
    <t>Sykehjem: beboere</t>
  </si>
  <si>
    <t>Beregnet utslipp som ikke fordlet på bygningsdeler</t>
  </si>
  <si>
    <t>Småhus</t>
  </si>
  <si>
    <t>Småhus: bosatte</t>
  </si>
  <si>
    <t>Barenehage: barn</t>
  </si>
  <si>
    <t>Kultur: besøk</t>
  </si>
  <si>
    <t>Hotell: sengeplasser</t>
  </si>
  <si>
    <t>Totalt (tonn CO2 ekv) </t>
  </si>
  <si>
    <t>Industri</t>
  </si>
  <si>
    <t>Idrett: areal</t>
  </si>
  <si>
    <t>Industri: areal</t>
  </si>
  <si>
    <t>Annet (sepsifiser)</t>
  </si>
  <si>
    <t>Annet: areal</t>
  </si>
  <si>
    <t>Annet</t>
  </si>
  <si>
    <t>Bygg som beholdes/rehabiliteres, tonn CO2 ekv over 50 år</t>
  </si>
  <si>
    <t>Oppvarmet kjeller</t>
  </si>
  <si>
    <t>Oppvarmet kjeller: areal</t>
  </si>
  <si>
    <t>Uoppvarmet kjeller</t>
  </si>
  <si>
    <t>Ikke oppvarmet kjeller: parkeringsplasser</t>
  </si>
  <si>
    <t>UTGÅR</t>
  </si>
  <si>
    <t xml:space="preserve">Alternativ 2: Resultat. Tabell for beregnet klimagassutslipp </t>
  </si>
  <si>
    <t>Mulighet for detaljerte resultater, alternativ 2</t>
  </si>
  <si>
    <t xml:space="preserve">Alternativ 3: Resultat. Tabell for beregnet klimagassutslipp </t>
  </si>
  <si>
    <t>Mulighet for detaljerte resultater, alternativ 3</t>
  </si>
  <si>
    <t xml:space="preserve">Alternativ 4: Resultat. Tabell for beregnet klimagassutslipp </t>
  </si>
  <si>
    <t>Mulighet for detaljerte resultater, alternativ 4</t>
  </si>
  <si>
    <t xml:space="preserve">Alternativ 5: Resultat. Tabell for beregnet klimagassutslipp </t>
  </si>
  <si>
    <t>Mulighet for detaljerte resultater, alternativ 5</t>
  </si>
  <si>
    <t>Utslippsdata</t>
  </si>
  <si>
    <t>ReferansebyggDFØ</t>
  </si>
  <si>
    <t>Referanseverdier</t>
  </si>
  <si>
    <t>Referanseverdier - Industri</t>
  </si>
  <si>
    <t>Høyde</t>
  </si>
  <si>
    <t>kg CO2 ekv/m2 BTA</t>
  </si>
  <si>
    <t>kg CO2 ekv/m2 BYA</t>
  </si>
  <si>
    <t>Utslippsfaktor energi</t>
  </si>
  <si>
    <t>ha inn graf på utslipp for energi</t>
  </si>
  <si>
    <t>Energiforbruk TEK, pr bygningstype</t>
  </si>
  <si>
    <t>fordeling strøm FV</t>
  </si>
  <si>
    <t>Industri, 0</t>
  </si>
  <si>
    <t>Industri, 4</t>
  </si>
  <si>
    <t>Industri, 5</t>
  </si>
  <si>
    <t>Industri, 6</t>
  </si>
  <si>
    <t>Utslippsfaktor transport masser ut</t>
  </si>
  <si>
    <t>hent tall fra vegLCA</t>
  </si>
  <si>
    <t>Industri, 7</t>
  </si>
  <si>
    <t>Utslippsfaktor transport masser inn</t>
  </si>
  <si>
    <t>Industri, 8</t>
  </si>
  <si>
    <t>Industri, 9</t>
  </si>
  <si>
    <t>Industri, 10</t>
  </si>
  <si>
    <t>Industri, 11</t>
  </si>
  <si>
    <t>Industri, 12</t>
  </si>
  <si>
    <t>Industri, 13</t>
  </si>
  <si>
    <t>Industri, 14</t>
  </si>
  <si>
    <t>Industri, 15</t>
  </si>
  <si>
    <t>Industri, 16</t>
  </si>
  <si>
    <t>Industri, 17</t>
  </si>
  <si>
    <t>utslipp fra solceller, pr m2</t>
  </si>
  <si>
    <t>Industri, 18</t>
  </si>
  <si>
    <t>Industri, 19</t>
  </si>
  <si>
    <t>Industri, 20</t>
  </si>
  <si>
    <t>Farge 1</t>
  </si>
  <si>
    <t>Farge 2</t>
  </si>
  <si>
    <t>Farge 3</t>
  </si>
  <si>
    <t>Grunn og fundamenter</t>
  </si>
  <si>
    <t>Farge 4</t>
  </si>
  <si>
    <t>Materiale</t>
  </si>
  <si>
    <t>Stålkjernepel</t>
  </si>
  <si>
    <t>kg CO2 ekv/BTA/dybde til fjell</t>
  </si>
  <si>
    <t>Betong, gysemasse</t>
  </si>
  <si>
    <t>Betong, bunnplate</t>
  </si>
  <si>
    <t>kg CO2 ekv/BYA</t>
  </si>
  <si>
    <t>Alt 1</t>
  </si>
  <si>
    <t>Alt 2</t>
  </si>
  <si>
    <t>Alt 3</t>
  </si>
  <si>
    <t>Alt 4</t>
  </si>
  <si>
    <t>Alt 5</t>
  </si>
  <si>
    <t>Industri 1</t>
  </si>
  <si>
    <t>Industri 2</t>
  </si>
  <si>
    <t>Industri 3</t>
  </si>
  <si>
    <t>Strøm og fjernvarme</t>
  </si>
  <si>
    <t>Industri 4</t>
  </si>
  <si>
    <t>GWh/år</t>
  </si>
  <si>
    <t>Andel</t>
  </si>
  <si>
    <t>Virkningsgrad</t>
  </si>
  <si>
    <t>Varmepumpe</t>
  </si>
  <si>
    <t>fjernkontrollen.no, Oslo</t>
  </si>
  <si>
    <t>kg CO2 e/kWh</t>
  </si>
  <si>
    <t>Elkjel</t>
  </si>
  <si>
    <t>Energi fra avfallsforbrenning</t>
  </si>
  <si>
    <t>Varme levert til kunde</t>
  </si>
  <si>
    <t>Levert strøm til FV</t>
  </si>
  <si>
    <t>Andel strøm, pr kWh levert energi FV til kunde</t>
  </si>
  <si>
    <t>kWh strøm/kWh FV</t>
  </si>
  <si>
    <t>Andel energi fra avfallsforbrenning, pr kWh levert energi FV til kunde</t>
  </si>
  <si>
    <t>kWh avfallsforbrenning/kWh FV</t>
  </si>
  <si>
    <t>EPD Oslo Celsio, produsert varme per år fra ulike energibærere</t>
  </si>
  <si>
    <t>Utslippsfaktor strøm EU+NO snitt 50 år</t>
  </si>
  <si>
    <t>EU+NO, snitt 2025-2074 (50 år)</t>
  </si>
  <si>
    <t>Utslippsfaktor strøm NO snitt 50 år</t>
  </si>
  <si>
    <t>NO, snitt 2025-2074 (50 år)</t>
  </si>
  <si>
    <t>Utslippsfaktor strøm NO, 2025</t>
  </si>
  <si>
    <t>FV med EU + NO strømmiks</t>
  </si>
  <si>
    <t>kg CO2 e/kWh levert kunde</t>
  </si>
  <si>
    <t>FV med EU + NO strømmiks + avfall iht FB</t>
  </si>
  <si>
    <t>FV med NO strømmiks</t>
  </si>
  <si>
    <t>FV med NO strømmiks + avfall iht FB</t>
  </si>
  <si>
    <t>bio</t>
  </si>
  <si>
    <t>elkjel</t>
  </si>
  <si>
    <t>VP</t>
  </si>
  <si>
    <t>Utslipp forbrenning avfall</t>
  </si>
  <si>
    <t>Snitt gjennom levetiden til bygget, (fra ferdigstillelse pluss 50 år), inklusive teknologi og tidsvekting</t>
  </si>
  <si>
    <t>Kilde</t>
  </si>
  <si>
    <t>kg CO2e/kWh</t>
  </si>
  <si>
    <t>FutureBuilt ZERO</t>
  </si>
  <si>
    <t>EPD Oslo Celsio GWP fossil</t>
  </si>
  <si>
    <t>kg CO2 e/kWh strøm</t>
  </si>
  <si>
    <t>Utsppsfaktor strøm i EPD</t>
  </si>
  <si>
    <t>kg CO2e/kWh strøm</t>
  </si>
  <si>
    <t>Beregnet utslipp fra strøm i EPD</t>
  </si>
  <si>
    <t>kg CO2 e/kWh FV</t>
  </si>
  <si>
    <t>FV uten strøm</t>
  </si>
  <si>
    <t>kg CO2 e/kWh FV uten strøm</t>
  </si>
  <si>
    <t>Beregnet utslipp fra strøm med EU+NO strøm</t>
  </si>
  <si>
    <t>Beregnet utslipp fra strøm med NO strøm</t>
  </si>
  <si>
    <t>Solceller, inkludert inverter, kabel, festesystem</t>
  </si>
  <si>
    <t>Avfall FB</t>
  </si>
  <si>
    <t>Snitt 2025-2074</t>
  </si>
  <si>
    <t>kg CO2 e/kWh fra avfall</t>
  </si>
  <si>
    <t>A5 beregnet basert på svinn</t>
  </si>
  <si>
    <t>B1-B5 beregnet basert på antall utskifting</t>
  </si>
  <si>
    <t>kg CO2 e/m2 panel</t>
  </si>
  <si>
    <t>PV panel: EPD: S-P-09079</t>
  </si>
  <si>
    <t>Energimerke</t>
  </si>
  <si>
    <t>Bygningskategorier</t>
  </si>
  <si>
    <r>
      <t>Levert energi pr m</t>
    </r>
    <r>
      <rPr>
        <b/>
        <vertAlign val="superscript"/>
        <sz val="10"/>
        <rFont val="Oslo Sans"/>
      </rPr>
      <t>2</t>
    </r>
    <r>
      <rPr>
        <b/>
        <sz val="10"/>
        <rFont val="Oslo Sans"/>
      </rPr>
      <t xml:space="preserve"> oppvarmet BRA (kWh/m</t>
    </r>
    <r>
      <rPr>
        <b/>
        <vertAlign val="superscript"/>
        <sz val="10"/>
        <rFont val="Oslo Sans"/>
      </rPr>
      <t>2</t>
    </r>
    <r>
      <rPr>
        <b/>
        <sz val="10"/>
        <rFont val="Oslo Sans"/>
      </rPr>
      <t>)</t>
    </r>
  </si>
  <si>
    <t>G</t>
  </si>
  <si>
    <t>Lavere enn
eller lik</t>
  </si>
  <si>
    <t>Ingen grense</t>
  </si>
  <si>
    <t>&gt;F</t>
  </si>
  <si>
    <t>Arealkorreksjon</t>
  </si>
  <si>
    <t>+800/A</t>
  </si>
  <si>
    <t>+1600/A</t>
  </si>
  <si>
    <t>+2500/A</t>
  </si>
  <si>
    <t>+4100/A</t>
  </si>
  <si>
    <t>+5800/A</t>
  </si>
  <si>
    <t>+8000/A</t>
  </si>
  <si>
    <t>Leiligheter (boligblokk)</t>
  </si>
  <si>
    <t xml:space="preserve">   Arealkorreksjon</t>
  </si>
  <si>
    <t>+600/A</t>
  </si>
  <si>
    <t>+1000/A</t>
  </si>
  <si>
    <t>+1500/A</t>
  </si>
  <si>
    <t>+2200/A</t>
  </si>
  <si>
    <t>+3000/A</t>
  </si>
  <si>
    <t>+4000/A</t>
  </si>
  <si>
    <t>&gt; F</t>
  </si>
  <si>
    <t>Kontorbygning</t>
  </si>
  <si>
    <t>Skolebygning</t>
  </si>
  <si>
    <t>Forretningsbygning</t>
  </si>
  <si>
    <t>Lett industribygning, verksted</t>
  </si>
  <si>
    <t xml:space="preserve"> TERRENG OG FLATER</t>
  </si>
  <si>
    <t>Grønt terreng, nytt  felt- og busksjikt</t>
  </si>
  <si>
    <t>Opptak over levetid (B) (kg CO2-ekv)</t>
  </si>
  <si>
    <t>Areal med busksjikt, liten, under en meter høyde. Dette er opptak i biomasse. Opptak i mineraljord må legges til.</t>
  </si>
  <si>
    <t>kg CO2 e/m2</t>
  </si>
  <si>
    <t>FutureBuilt Zero Landskap, moderat veksthatighet, opptak første 15 år</t>
  </si>
  <si>
    <t>Areal med busksjikt, medium, mellom en og to meter høyde. Dette er opptak i biomasse. Opptak i mineraljord må legges til.</t>
  </si>
  <si>
    <t>Grønne overflater (gressarmert dekke)</t>
  </si>
  <si>
    <t>Omfatter kun opptak i mineraljord</t>
  </si>
  <si>
    <t>Nytt areal med mineraljord</t>
  </si>
  <si>
    <t xml:space="preserve"> Opptak av biogent karbon i ny mineraljord til likevekt i år 20 (verdi er totalt opptak over 20 år)</t>
  </si>
  <si>
    <t>Nye trær</t>
  </si>
  <si>
    <t>kg CO2 e/stk</t>
  </si>
  <si>
    <t>FutureBuilt Zero Landskap, moderat veksthatighet, opptak over 60 år</t>
  </si>
  <si>
    <t>Faktorer for totalt klimagassutslipp ved arealbeslag over 75 år, inkludert tapt mulighet for opptak i levende biomasse.</t>
  </si>
  <si>
    <t>Metoder for å beregne klimagassutslipp fra arealbeslag. Statens vegvesen; Nye Veier AS; Bane NOR SF; Jernbanedirektoratet; Kystverket; Avinor AS; Miljødirektoratet, 2022</t>
  </si>
  <si>
    <t>Skog – Høy bonitet </t>
  </si>
  <si>
    <t>Resultater er sammenliknet med referansebygg fra DFØ (Kriterieveiviser for bygg, Klimagasskrav for hele bygget). Farger i tabell viser oversikelig forskjell fra beregnet utslipp i alternativer sammenliknet mot referansebygg. Rød medfører 10% høyere utslipp  enn referansebygg. Gul er lik +-10% fra referansebygg. Grønn er fra 10% og til 90% lavere enn referansebygg.  Grå betyr at utslippene utgjør 0-10% av referansen og indikerer at utslippene kan være mangelfulle. Da bør beskrivelse og tall sjekkes nøye (det er ikke sikkert det er feil med så lave utslipp).</t>
  </si>
  <si>
    <t>Er det utført scenario/sensitivitetsvurdering av datagrunnlag og utslippsfaktorer som påvirker resultat og konklusjon?</t>
  </si>
  <si>
    <r>
      <rPr>
        <b/>
        <i/>
        <sz val="10"/>
        <color theme="1"/>
        <rFont val="Oslo Sans"/>
      </rPr>
      <t xml:space="preserve">Beskrivelse: </t>
    </r>
    <r>
      <rPr>
        <i/>
        <sz val="10"/>
        <color theme="1"/>
        <rFont val="Oslo Sans"/>
      </rPr>
      <t xml:space="preserve">
Beregnes basert på DFØ tall, areal som rives og restlevetid fra riveår til 50 år. Bygg som står over 50 år har ingen "negativ" restlevetid. 
Dette er teoretisk utslipp som er "igjen" av bygget basert på en 50 års beregningsperiode. Eksempel: Et bygg har et beregnet klimautslipp A1-A4 på 100 tonn CO2 e, 50 års beregningsperiode. Rives bygget 20 år etter oppføring "gjenstår" 30 år med utslipp fra bygget. Restutslipp bygg som rives er da beregnet slik: 100 tonn CO2 e / 50 år beregningsperiode * 30 år restlevetid = 60 tonn CO2 ekv. </t>
    </r>
  </si>
  <si>
    <r>
      <t xml:space="preserve">Beskrivelse: 
</t>
    </r>
    <r>
      <rPr>
        <i/>
        <sz val="10"/>
        <color theme="1"/>
        <rFont val="Oslo Sans"/>
      </rPr>
      <t xml:space="preserve">Beregnes basert på DFØ tall, areal som rives og restlevetid fra riveår til 50 år. Bygg som står over 50 år har ingen "negativ" restlevetid. 
Dette er teoretisk utslipp som er "igjen" av bygget basert på en 50 års beregningsperiode. Eksempel: Et bygg har et beregnet klimautslipp A1-A4 på 100 tonn CO2 e, 50 års beregningsperiode. Rives bygget 20 år etter oppføring "gjenstår" 30 år med utslipp fra bygget. Restutslipp bygg som rives er da beregnet slik: 100 tonn CO2 e / 50 år beregningsperiode * 30 år restlevetid = 60 tonn CO2 ekv. </t>
    </r>
  </si>
  <si>
    <r>
      <rPr>
        <b/>
        <i/>
        <sz val="10"/>
        <color theme="1"/>
        <rFont val="Oslo Sans"/>
      </rPr>
      <t xml:space="preserve">Beskrivelse: 
</t>
    </r>
    <r>
      <rPr>
        <i/>
        <sz val="10"/>
        <color theme="1"/>
        <rFont val="Oslo Sans"/>
      </rPr>
      <t xml:space="preserve">Beregnes basert på DFØ tall, areal som rives og restlevetid fra riveår til 50 år. Bygg som står over 50 år har ingen "negativ" restlevetid. 
Dette er teoretisk utslipp som er "igjen" av bygget basert på en 50 års beregningsperiode. Eksempel: Et bygg har et beregnet klimautslipp A1-A4 på 100 tonn CO2 e, 50 års beregningsperiode. Rives bygget 20 år etter oppføring "gjenstår" 30 år med utslipp fra bygget. Restutslipp bygg som rives er da beregnet slik: 100 tonn CO2 e / 50 år beregningsperiode * 30 år restlevetid = 60 tonn CO2 ekv.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</si>
</sst>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_ * #,##0.00_ ;_ * \-#,##0.00_ ;_ * &quot;-&quot;??_ ;_ @_ "/>
    <numFmt numFmtId="166" formatCode="0.0"/>
    <numFmt numFmtId="167" formatCode="#,##0.0"/>
    <numFmt numFmtId="168" formatCode="0.0000"/>
  </numFmts>
  <fonts count="36">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Calibri"/>
      <family val="2"/>
      <scheme val="minor"/>
    </font>
    <font>
      <sz val="10"/>
      <name val="Arial"/>
      <family val="2"/>
    </font>
    <font>
      <sz val="11"/>
      <color indexed="62"/>
      <name val="Calibri"/>
      <family val="2"/>
    </font>
    <font>
      <sz val="22"/>
      <color theme="1"/>
      <name val="Oslo Sans"/>
    </font>
    <font>
      <sz val="11"/>
      <color theme="1"/>
      <name val="Oslo Sans"/>
    </font>
    <font>
      <b/>
      <sz val="11"/>
      <color theme="1"/>
      <name val="Oslo Sans"/>
    </font>
    <font>
      <i/>
      <sz val="11"/>
      <color theme="1"/>
      <name val="Oslo Sans"/>
    </font>
    <font>
      <sz val="11"/>
      <color rgb="FFFF0000"/>
      <name val="Oslo Sans"/>
    </font>
    <font>
      <sz val="14"/>
      <color theme="1"/>
      <name val="Oslo Sans"/>
    </font>
    <font>
      <sz val="11"/>
      <color theme="4"/>
      <name val="Oslo Sans"/>
    </font>
    <font>
      <sz val="18"/>
      <color theme="1"/>
      <name val="Oslo Sans"/>
    </font>
    <font>
      <sz val="10"/>
      <color theme="1"/>
      <name val="Oslo Sans"/>
    </font>
    <font>
      <sz val="10"/>
      <color rgb="FFFF0000"/>
      <name val="Oslo Sans"/>
    </font>
    <font>
      <b/>
      <sz val="10"/>
      <color theme="1"/>
      <name val="Oslo Sans"/>
    </font>
    <font>
      <sz val="10"/>
      <color theme="0"/>
      <name val="Oslo Sans"/>
    </font>
    <font>
      <i/>
      <sz val="10"/>
      <color theme="1"/>
      <name val="Oslo Sans"/>
    </font>
    <font>
      <sz val="20"/>
      <color theme="1"/>
      <name val="Oslo Sans"/>
    </font>
    <font>
      <sz val="9"/>
      <color rgb="FF1D3C34"/>
      <name val="Oslo Sans"/>
    </font>
    <font>
      <sz val="10"/>
      <name val="Oslo Sans"/>
    </font>
    <font>
      <b/>
      <i/>
      <sz val="10"/>
      <color theme="1"/>
      <name val="Oslo Sans"/>
    </font>
    <font>
      <i/>
      <sz val="11"/>
      <color rgb="FFFF0000"/>
      <name val="Oslo Sans"/>
    </font>
    <font>
      <sz val="11"/>
      <color theme="8"/>
      <name val="Oslo Sans"/>
    </font>
    <font>
      <sz val="11"/>
      <color theme="0"/>
      <name val="Oslo Sans"/>
    </font>
    <font>
      <b/>
      <sz val="12"/>
      <name val="Oslo Sans"/>
    </font>
    <font>
      <b/>
      <sz val="10"/>
      <name val="Oslo Sans"/>
    </font>
    <font>
      <b/>
      <vertAlign val="superscript"/>
      <sz val="10"/>
      <name val="Oslo Sans"/>
    </font>
    <font>
      <sz val="8"/>
      <name val="Oslo Sans"/>
    </font>
    <font>
      <b/>
      <sz val="11"/>
      <name val="Oslo Sans"/>
    </font>
    <font>
      <sz val="9"/>
      <name val="Oslo Sans"/>
    </font>
    <font>
      <sz val="10"/>
      <color rgb="FF002060"/>
      <name val="Oslo Sans"/>
    </font>
    <font>
      <sz val="11"/>
      <color rgb="FF000000"/>
      <name val="Oslo Sans"/>
    </font>
    <font>
      <sz val="11"/>
      <color rgb="FF313637"/>
      <name val="Oslo Sans"/>
    </font>
  </fonts>
  <fills count="2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FFCC"/>
      </patternFill>
    </fill>
    <fill>
      <patternFill patternType="solid">
        <fgColor rgb="FFFFC000"/>
        <bgColor indexed="64"/>
      </patternFill>
    </fill>
    <fill>
      <patternFill patternType="solid">
        <fgColor theme="9"/>
        <bgColor indexed="64"/>
      </patternFill>
    </fill>
    <fill>
      <patternFill patternType="solid">
        <fgColor indexed="9"/>
        <bgColor indexed="64"/>
      </patternFill>
    </fill>
    <fill>
      <patternFill patternType="solid">
        <fgColor indexed="47"/>
      </patternFill>
    </fill>
    <fill>
      <patternFill patternType="solid">
        <fgColor theme="7" tint="0.59999389629810485"/>
        <bgColor indexed="64"/>
      </patternFill>
    </fill>
    <fill>
      <patternFill patternType="solid">
        <fgColor rgb="FFFDE9C4"/>
        <bgColor indexed="64"/>
      </patternFill>
    </fill>
    <fill>
      <patternFill patternType="solid">
        <fgColor rgb="FFD9D9D9"/>
        <bgColor indexed="64"/>
      </patternFill>
    </fill>
    <fill>
      <patternFill patternType="solid">
        <fgColor rgb="FFA8F2FF"/>
        <bgColor indexed="64"/>
      </patternFill>
    </fill>
    <fill>
      <patternFill patternType="solid">
        <fgColor rgb="FF65E76B"/>
        <bgColor indexed="64"/>
      </patternFill>
    </fill>
    <fill>
      <patternFill patternType="solid">
        <fgColor rgb="FFFFE7E3"/>
        <bgColor indexed="64"/>
      </patternFill>
    </fill>
    <fill>
      <patternFill patternType="solid">
        <fgColor rgb="FFE1FBFF"/>
        <bgColor indexed="64"/>
      </patternFill>
    </fill>
    <fill>
      <patternFill patternType="solid">
        <fgColor rgb="FFC7F6D1"/>
        <bgColor indexed="64"/>
      </patternFill>
    </fill>
    <fill>
      <patternFill patternType="solid">
        <fgColor rgb="FFC7F6C9"/>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ck">
        <color theme="1" tint="0.499984740745262"/>
      </bottom>
      <diagonal/>
    </border>
    <border>
      <left style="thick">
        <color theme="1" tint="0.499984740745262"/>
      </left>
      <right style="medium">
        <color theme="1" tint="0.499984740745262"/>
      </right>
      <top style="thick">
        <color theme="1" tint="0.499984740745262"/>
      </top>
      <bottom/>
      <diagonal/>
    </border>
    <border>
      <left style="thick">
        <color theme="1" tint="0.499984740745262"/>
      </left>
      <right style="medium">
        <color theme="1" tint="0.499984740745262"/>
      </right>
      <top/>
      <bottom/>
      <diagonal/>
    </border>
    <border>
      <left style="thick">
        <color theme="1" tint="0.499984740745262"/>
      </left>
      <right style="medium">
        <color theme="1" tint="0.499984740745262"/>
      </right>
      <top/>
      <bottom style="thin">
        <color theme="1" tint="0.499984740745262"/>
      </bottom>
      <diagonal/>
    </border>
    <border>
      <left style="thick">
        <color theme="1" tint="0.499984740745262"/>
      </left>
      <right style="medium">
        <color theme="1" tint="0.499984740745262"/>
      </right>
      <top style="thin">
        <color theme="1" tint="0.499984740745262"/>
      </top>
      <bottom style="thin">
        <color theme="1" tint="0.499984740745262"/>
      </bottom>
      <diagonal/>
    </border>
    <border>
      <left style="thick">
        <color theme="1" tint="0.499984740745262"/>
      </left>
      <right style="medium">
        <color theme="1" tint="0.499984740745262"/>
      </right>
      <top style="thin">
        <color theme="1" tint="0.499984740745262"/>
      </top>
      <bottom style="thick">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ck">
        <color theme="1" tint="0.499984740745262"/>
      </right>
      <top/>
      <bottom style="thin">
        <color theme="1" tint="0.499984740745262"/>
      </bottom>
      <diagonal/>
    </border>
    <border>
      <left style="thick">
        <color theme="1" tint="0.499984740745262"/>
      </left>
      <right style="medium">
        <color theme="1" tint="0.499984740745262"/>
      </right>
      <top/>
      <bottom style="medium">
        <color theme="1" tint="0.499984740745262"/>
      </bottom>
      <diagonal/>
    </border>
    <border>
      <left style="medium">
        <color theme="1" tint="0.499984740745262"/>
      </left>
      <right/>
      <top style="thick">
        <color theme="1" tint="0.499984740745262"/>
      </top>
      <bottom style="thin">
        <color theme="1" tint="0.499984740745262"/>
      </bottom>
      <diagonal/>
    </border>
    <border>
      <left/>
      <right/>
      <top style="thick">
        <color theme="1" tint="0.499984740745262"/>
      </top>
      <bottom style="thin">
        <color theme="1" tint="0.499984740745262"/>
      </bottom>
      <diagonal/>
    </border>
    <border>
      <left/>
      <right style="thick">
        <color theme="1" tint="0.499984740745262"/>
      </right>
      <top style="thick">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ck">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hair">
        <color theme="1" tint="0.499984740745262"/>
      </bottom>
      <diagonal/>
    </border>
    <border>
      <left style="thin">
        <color theme="1" tint="0.499984740745262"/>
      </left>
      <right style="thin">
        <color theme="1" tint="0.499984740745262"/>
      </right>
      <top style="medium">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style="thin">
        <color theme="1" tint="0.499984740745262"/>
      </left>
      <right style="thin">
        <color theme="1" tint="0.499984740745262"/>
      </right>
      <top style="thin">
        <color theme="1" tint="0.499984740745262"/>
      </top>
      <bottom style="hair">
        <color theme="1" tint="0.499984740745262"/>
      </bottom>
      <diagonal/>
    </border>
    <border>
      <left style="thick">
        <color theme="1" tint="0.499984740745262"/>
      </left>
      <right style="medium">
        <color theme="1" tint="0.499984740745262"/>
      </right>
      <top style="medium">
        <color theme="1" tint="0.499984740745262"/>
      </top>
      <bottom/>
      <diagonal/>
    </border>
    <border>
      <left style="thin">
        <color theme="1" tint="0.499984740745262"/>
      </left>
      <right style="thick">
        <color theme="1" tint="0.499984740745262"/>
      </right>
      <top style="medium">
        <color theme="1" tint="0.499984740745262"/>
      </top>
      <bottom/>
      <diagonal/>
    </border>
    <border>
      <left style="thin">
        <color theme="1" tint="0.499984740745262"/>
      </left>
      <right style="thick">
        <color theme="1" tint="0.499984740745262"/>
      </right>
      <top style="thin">
        <color theme="1" tint="0.499984740745262"/>
      </top>
      <bottom/>
      <diagonal/>
    </border>
    <border>
      <left style="medium">
        <color indexed="64"/>
      </left>
      <right style="thin">
        <color indexed="64"/>
      </right>
      <top/>
      <bottom style="medium">
        <color indexed="64"/>
      </bottom>
      <diagonal/>
    </border>
  </borders>
  <cellStyleXfs count="7">
    <xf numFmtId="0" fontId="0" fillId="0" borderId="0"/>
    <xf numFmtId="0" fontId="5" fillId="0" borderId="0"/>
    <xf numFmtId="165" fontId="4" fillId="0" borderId="0" applyFont="0" applyFill="0" applyBorder="0" applyAlignment="0" applyProtection="0"/>
    <xf numFmtId="0" fontId="6" fillId="15" borderId="45" applyNumberFormat="0" applyAlignment="0" applyProtection="0"/>
    <xf numFmtId="0" fontId="5" fillId="11" borderId="31" applyNumberFormat="0" applyFont="0" applyAlignment="0" applyProtection="0"/>
    <xf numFmtId="9" fontId="5" fillId="0" borderId="0" applyFont="0" applyFill="0" applyBorder="0" applyAlignment="0" applyProtection="0"/>
    <xf numFmtId="43" fontId="5" fillId="0" borderId="0" applyFont="0" applyFill="0" applyBorder="0" applyAlignment="0" applyProtection="0"/>
  </cellStyleXfs>
  <cellXfs count="421">
    <xf numFmtId="0" fontId="0" fillId="0" borderId="0" xfId="0"/>
    <xf numFmtId="0" fontId="7" fillId="0" borderId="0" xfId="0" applyFont="1"/>
    <xf numFmtId="0" fontId="8" fillId="0" borderId="0" xfId="0" applyFont="1"/>
    <xf numFmtId="0" fontId="8" fillId="0" borderId="0" xfId="0" applyFont="1" applyAlignment="1">
      <alignment horizontal="left"/>
    </xf>
    <xf numFmtId="14" fontId="8" fillId="0" borderId="0" xfId="0" applyNumberFormat="1" applyFont="1" applyAlignment="1">
      <alignment horizontal="left"/>
    </xf>
    <xf numFmtId="0" fontId="9" fillId="0" borderId="0" xfId="0" applyFont="1"/>
    <xf numFmtId="0" fontId="11" fillId="0" borderId="0" xfId="0" applyFont="1"/>
    <xf numFmtId="0" fontId="12" fillId="0" borderId="0" xfId="0" applyFont="1"/>
    <xf numFmtId="0" fontId="8" fillId="6" borderId="1" xfId="0" applyFont="1" applyFill="1" applyBorder="1"/>
    <xf numFmtId="0" fontId="8" fillId="0" borderId="1" xfId="0" applyFont="1" applyBorder="1"/>
    <xf numFmtId="14" fontId="8" fillId="0" borderId="1" xfId="0" applyNumberFormat="1" applyFont="1" applyBorder="1"/>
    <xf numFmtId="0" fontId="8" fillId="17" borderId="1" xfId="0" applyFont="1" applyFill="1" applyBorder="1"/>
    <xf numFmtId="0" fontId="13" fillId="0" borderId="0" xfId="0" applyFont="1"/>
    <xf numFmtId="0" fontId="8" fillId="0" borderId="1" xfId="0" applyFont="1" applyBorder="1" applyAlignment="1">
      <alignment vertical="top"/>
    </xf>
    <xf numFmtId="3" fontId="8" fillId="0" borderId="1" xfId="0" applyNumberFormat="1" applyFont="1" applyBorder="1"/>
    <xf numFmtId="0" fontId="8" fillId="0" borderId="1" xfId="0" applyFont="1" applyBorder="1" applyAlignment="1">
      <alignment wrapText="1"/>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xf numFmtId="0" fontId="15" fillId="0" borderId="0" xfId="0" applyFont="1"/>
    <xf numFmtId="0" fontId="15" fillId="17" borderId="1" xfId="0" applyFont="1" applyFill="1" applyBorder="1" applyAlignment="1">
      <alignment vertical="top"/>
    </xf>
    <xf numFmtId="0" fontId="15" fillId="0" borderId="1" xfId="0" applyFont="1" applyBorder="1"/>
    <xf numFmtId="9" fontId="15" fillId="0" borderId="1" xfId="0" applyNumberFormat="1" applyFont="1" applyBorder="1" applyProtection="1">
      <protection hidden="1"/>
    </xf>
    <xf numFmtId="0" fontId="20"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1" xfId="0" applyFont="1" applyBorder="1" applyProtection="1">
      <protection hidden="1"/>
    </xf>
    <xf numFmtId="0" fontId="8" fillId="16" borderId="6" xfId="0" applyFont="1" applyFill="1" applyBorder="1" applyProtection="1">
      <protection hidden="1"/>
    </xf>
    <xf numFmtId="0" fontId="8" fillId="16" borderId="23" xfId="0" applyFont="1" applyFill="1" applyBorder="1" applyProtection="1">
      <protection hidden="1"/>
    </xf>
    <xf numFmtId="0" fontId="8" fillId="16" borderId="7" xfId="0" applyFont="1" applyFill="1" applyBorder="1" applyProtection="1">
      <protection hidden="1"/>
    </xf>
    <xf numFmtId="0" fontId="8" fillId="17" borderId="1" xfId="0" applyFont="1" applyFill="1" applyBorder="1" applyProtection="1">
      <protection hidden="1"/>
    </xf>
    <xf numFmtId="0" fontId="8" fillId="5" borderId="1" xfId="0" applyFont="1" applyFill="1" applyBorder="1" applyProtection="1">
      <protection hidden="1"/>
    </xf>
    <xf numFmtId="0" fontId="8" fillId="5" borderId="25" xfId="0" applyFont="1" applyFill="1" applyBorder="1" applyProtection="1">
      <protection hidden="1"/>
    </xf>
    <xf numFmtId="0" fontId="8" fillId="5" borderId="26" xfId="0" applyFont="1" applyFill="1" applyBorder="1" applyProtection="1">
      <protection hidden="1"/>
    </xf>
    <xf numFmtId="0" fontId="8" fillId="5" borderId="34" xfId="0" applyFont="1" applyFill="1" applyBorder="1" applyProtection="1">
      <protection hidden="1"/>
    </xf>
    <xf numFmtId="0" fontId="8" fillId="5" borderId="42" xfId="0" applyFont="1" applyFill="1" applyBorder="1" applyProtection="1">
      <protection hidden="1"/>
    </xf>
    <xf numFmtId="0" fontId="8" fillId="0" borderId="8" xfId="0" applyFont="1" applyBorder="1" applyProtection="1">
      <protection hidden="1"/>
    </xf>
    <xf numFmtId="0" fontId="8" fillId="0" borderId="1" xfId="0" applyFont="1" applyBorder="1" applyProtection="1">
      <protection locked="0" hidden="1"/>
    </xf>
    <xf numFmtId="1" fontId="8" fillId="0" borderId="1" xfId="0" applyNumberFormat="1" applyFont="1" applyBorder="1" applyProtection="1">
      <protection hidden="1"/>
    </xf>
    <xf numFmtId="0" fontId="8" fillId="0" borderId="27" xfId="0" applyFont="1" applyBorder="1" applyProtection="1">
      <protection hidden="1"/>
    </xf>
    <xf numFmtId="3" fontId="8" fillId="0" borderId="5" xfId="0" applyNumberFormat="1" applyFont="1" applyBorder="1" applyProtection="1">
      <protection hidden="1"/>
    </xf>
    <xf numFmtId="3" fontId="8" fillId="0" borderId="14" xfId="0" applyNumberFormat="1" applyFont="1" applyBorder="1" applyProtection="1">
      <protection hidden="1"/>
    </xf>
    <xf numFmtId="3" fontId="8" fillId="0" borderId="35" xfId="0" applyNumberFormat="1" applyFont="1" applyBorder="1" applyProtection="1">
      <protection hidden="1"/>
    </xf>
    <xf numFmtId="3" fontId="8" fillId="0" borderId="41" xfId="0" applyNumberFormat="1" applyFont="1" applyBorder="1" applyProtection="1">
      <protection hidden="1"/>
    </xf>
    <xf numFmtId="3" fontId="8" fillId="0" borderId="32" xfId="0" applyNumberFormat="1" applyFont="1" applyBorder="1" applyProtection="1">
      <protection hidden="1"/>
    </xf>
    <xf numFmtId="0" fontId="8" fillId="0" borderId="28" xfId="0" applyFont="1" applyBorder="1" applyProtection="1">
      <protection hidden="1"/>
    </xf>
    <xf numFmtId="3" fontId="8" fillId="0" borderId="43" xfId="0" applyNumberFormat="1" applyFont="1" applyBorder="1" applyProtection="1">
      <protection hidden="1"/>
    </xf>
    <xf numFmtId="3" fontId="8" fillId="0" borderId="44" xfId="0" applyNumberFormat="1" applyFont="1" applyBorder="1" applyProtection="1">
      <protection hidden="1"/>
    </xf>
    <xf numFmtId="0" fontId="11" fillId="0" borderId="0" xfId="0" applyFont="1" applyProtection="1">
      <protection hidden="1"/>
    </xf>
    <xf numFmtId="0" fontId="9" fillId="0" borderId="30" xfId="0" applyFont="1" applyBorder="1" applyProtection="1">
      <protection hidden="1"/>
    </xf>
    <xf numFmtId="3" fontId="8" fillId="0" borderId="42" xfId="0" applyNumberFormat="1" applyFont="1" applyBorder="1" applyProtection="1">
      <protection hidden="1"/>
    </xf>
    <xf numFmtId="3" fontId="8" fillId="0" borderId="26" xfId="0" applyNumberFormat="1" applyFont="1" applyBorder="1" applyProtection="1">
      <protection hidden="1"/>
    </xf>
    <xf numFmtId="3" fontId="8" fillId="0" borderId="33" xfId="0" applyNumberFormat="1" applyFont="1" applyBorder="1" applyProtection="1">
      <protection hidden="1"/>
    </xf>
    <xf numFmtId="3" fontId="8" fillId="0" borderId="25" xfId="0" applyNumberFormat="1" applyFont="1" applyBorder="1" applyProtection="1">
      <protection hidden="1"/>
    </xf>
    <xf numFmtId="3" fontId="8" fillId="0" borderId="34" xfId="0" applyNumberFormat="1" applyFont="1" applyBorder="1" applyProtection="1">
      <protection hidden="1"/>
    </xf>
    <xf numFmtId="0" fontId="8" fillId="7" borderId="42" xfId="0" applyFont="1" applyFill="1" applyBorder="1" applyProtection="1">
      <protection hidden="1"/>
    </xf>
    <xf numFmtId="0" fontId="8" fillId="7" borderId="26" xfId="0" applyFont="1" applyFill="1" applyBorder="1" applyProtection="1">
      <protection hidden="1"/>
    </xf>
    <xf numFmtId="0" fontId="8" fillId="7" borderId="34" xfId="0" applyFont="1" applyFill="1" applyBorder="1" applyProtection="1">
      <protection hidden="1"/>
    </xf>
    <xf numFmtId="0" fontId="8" fillId="0" borderId="13" xfId="0" applyFont="1" applyBorder="1" applyProtection="1">
      <protection hidden="1"/>
    </xf>
    <xf numFmtId="0" fontId="8" fillId="6" borderId="20" xfId="0" applyFont="1" applyFill="1" applyBorder="1" applyProtection="1">
      <protection hidden="1"/>
    </xf>
    <xf numFmtId="3" fontId="8" fillId="6" borderId="37" xfId="0" applyNumberFormat="1" applyFont="1" applyFill="1" applyBorder="1" applyProtection="1">
      <protection hidden="1"/>
    </xf>
    <xf numFmtId="3" fontId="8" fillId="6" borderId="38" xfId="0" applyNumberFormat="1" applyFont="1" applyFill="1" applyBorder="1" applyProtection="1">
      <protection hidden="1"/>
    </xf>
    <xf numFmtId="3" fontId="8" fillId="6" borderId="39" xfId="0" applyNumberFormat="1" applyFont="1" applyFill="1" applyBorder="1" applyProtection="1">
      <protection hidden="1"/>
    </xf>
    <xf numFmtId="14" fontId="8" fillId="0" borderId="1" xfId="0" applyNumberFormat="1" applyFont="1" applyBorder="1" applyProtection="1">
      <protection hidden="1"/>
    </xf>
    <xf numFmtId="3" fontId="8" fillId="6" borderId="74" xfId="0" applyNumberFormat="1" applyFont="1" applyFill="1" applyBorder="1" applyProtection="1">
      <protection hidden="1"/>
    </xf>
    <xf numFmtId="0" fontId="9" fillId="0" borderId="1" xfId="0" applyFont="1" applyBorder="1"/>
    <xf numFmtId="0" fontId="9" fillId="0" borderId="1" xfId="0" applyFont="1" applyBorder="1" applyProtection="1">
      <protection hidden="1"/>
    </xf>
    <xf numFmtId="14" fontId="8" fillId="0" borderId="0" xfId="0" applyNumberFormat="1" applyFont="1" applyProtection="1">
      <protection hidden="1"/>
    </xf>
    <xf numFmtId="0" fontId="13" fillId="0" borderId="0" xfId="0" applyFont="1" applyProtection="1">
      <protection hidden="1"/>
    </xf>
    <xf numFmtId="0" fontId="8" fillId="16" borderId="27" xfId="0" applyFont="1" applyFill="1" applyBorder="1" applyProtection="1">
      <protection hidden="1"/>
    </xf>
    <xf numFmtId="3" fontId="8" fillId="0" borderId="1" xfId="0" applyNumberFormat="1" applyFont="1" applyBorder="1" applyProtection="1">
      <protection hidden="1"/>
    </xf>
    <xf numFmtId="0" fontId="8" fillId="16" borderId="1" xfId="0" applyFont="1" applyFill="1" applyBorder="1" applyProtection="1">
      <protection hidden="1"/>
    </xf>
    <xf numFmtId="0" fontId="8" fillId="0" borderId="29" xfId="0" applyFont="1" applyBorder="1" applyProtection="1">
      <protection hidden="1"/>
    </xf>
    <xf numFmtId="0" fontId="8" fillId="0" borderId="30" xfId="0" applyFont="1" applyBorder="1" applyProtection="1">
      <protection hidden="1"/>
    </xf>
    <xf numFmtId="0" fontId="8" fillId="8" borderId="1" xfId="0" applyFont="1" applyFill="1" applyBorder="1" applyProtection="1">
      <protection hidden="1"/>
    </xf>
    <xf numFmtId="3" fontId="8" fillId="8" borderId="1" xfId="0" applyNumberFormat="1" applyFont="1" applyFill="1" applyBorder="1" applyProtection="1">
      <protection hidden="1"/>
    </xf>
    <xf numFmtId="0" fontId="9" fillId="8" borderId="1" xfId="0" applyFont="1" applyFill="1" applyBorder="1" applyProtection="1">
      <protection hidden="1"/>
    </xf>
    <xf numFmtId="3" fontId="9" fillId="8" borderId="1" xfId="0" applyNumberFormat="1" applyFont="1" applyFill="1" applyBorder="1" applyProtection="1">
      <protection hidden="1"/>
    </xf>
    <xf numFmtId="0" fontId="11" fillId="0" borderId="1" xfId="0" applyFont="1" applyBorder="1" applyProtection="1">
      <protection hidden="1"/>
    </xf>
    <xf numFmtId="164" fontId="8" fillId="0" borderId="0" xfId="0" applyNumberFormat="1" applyFont="1" applyProtection="1">
      <protection hidden="1"/>
    </xf>
    <xf numFmtId="164" fontId="8" fillId="0" borderId="1" xfId="0" applyNumberFormat="1" applyFont="1" applyBorder="1" applyProtection="1">
      <protection hidden="1"/>
    </xf>
    <xf numFmtId="167" fontId="8" fillId="0" borderId="1" xfId="0" applyNumberFormat="1" applyFont="1" applyBorder="1" applyProtection="1">
      <protection hidden="1"/>
    </xf>
    <xf numFmtId="0" fontId="8" fillId="17" borderId="1" xfId="0" applyFont="1" applyFill="1" applyBorder="1" applyAlignment="1" applyProtection="1">
      <alignment vertical="top"/>
      <protection hidden="1"/>
    </xf>
    <xf numFmtId="0" fontId="8" fillId="17" borderId="1" xfId="0" applyFont="1" applyFill="1" applyBorder="1" applyAlignment="1" applyProtection="1">
      <alignment vertical="top" wrapText="1"/>
      <protection hidden="1"/>
    </xf>
    <xf numFmtId="0" fontId="8" fillId="6" borderId="1" xfId="0" applyFont="1" applyFill="1" applyBorder="1" applyProtection="1">
      <protection hidden="1"/>
    </xf>
    <xf numFmtId="1" fontId="8" fillId="13" borderId="1" xfId="0" applyNumberFormat="1" applyFont="1" applyFill="1" applyBorder="1" applyProtection="1">
      <protection hidden="1"/>
    </xf>
    <xf numFmtId="0" fontId="8" fillId="13" borderId="1" xfId="0" applyFont="1" applyFill="1" applyBorder="1" applyProtection="1">
      <protection hidden="1"/>
    </xf>
    <xf numFmtId="2" fontId="8" fillId="0" borderId="1" xfId="0" applyNumberFormat="1" applyFont="1" applyBorder="1" applyProtection="1">
      <protection hidden="1"/>
    </xf>
    <xf numFmtId="10" fontId="8" fillId="0" borderId="1" xfId="0" applyNumberFormat="1" applyFont="1" applyBorder="1" applyProtection="1">
      <protection hidden="1"/>
    </xf>
    <xf numFmtId="3" fontId="8" fillId="13" borderId="1" xfId="0" applyNumberFormat="1" applyFont="1" applyFill="1" applyBorder="1" applyProtection="1">
      <protection hidden="1"/>
    </xf>
    <xf numFmtId="9" fontId="8" fillId="13" borderId="1" xfId="0" applyNumberFormat="1" applyFont="1" applyFill="1" applyBorder="1" applyProtection="1">
      <protection hidden="1"/>
    </xf>
    <xf numFmtId="2" fontId="8" fillId="13" borderId="1" xfId="0" applyNumberFormat="1" applyFont="1" applyFill="1" applyBorder="1" applyProtection="1">
      <protection hidden="1"/>
    </xf>
    <xf numFmtId="3" fontId="8" fillId="2" borderId="1" xfId="0" applyNumberFormat="1" applyFont="1" applyFill="1" applyBorder="1" applyProtection="1">
      <protection hidden="1"/>
    </xf>
    <xf numFmtId="0" fontId="21" fillId="0" borderId="0" xfId="0" applyFont="1"/>
    <xf numFmtId="9" fontId="8" fillId="0" borderId="0" xfId="0" applyNumberFormat="1" applyFont="1" applyProtection="1">
      <protection hidden="1"/>
    </xf>
    <xf numFmtId="0" fontId="9" fillId="0" borderId="0" xfId="0" applyFont="1" applyProtection="1">
      <protection hidden="1"/>
    </xf>
    <xf numFmtId="0" fontId="11" fillId="0" borderId="15" xfId="0" applyFont="1" applyBorder="1" applyProtection="1">
      <protection hidden="1"/>
    </xf>
    <xf numFmtId="0" fontId="11" fillId="0" borderId="16" xfId="0" applyFont="1" applyBorder="1" applyProtection="1">
      <protection hidden="1"/>
    </xf>
    <xf numFmtId="0" fontId="8" fillId="0" borderId="17" xfId="0" applyFont="1" applyBorder="1" applyProtection="1">
      <protection hidden="1"/>
    </xf>
    <xf numFmtId="0" fontId="8" fillId="0" borderId="18" xfId="0" applyFont="1" applyBorder="1" applyProtection="1">
      <protection hidden="1"/>
    </xf>
    <xf numFmtId="0" fontId="8" fillId="0" borderId="19" xfId="0" applyFont="1" applyBorder="1" applyProtection="1">
      <protection hidden="1"/>
    </xf>
    <xf numFmtId="0" fontId="8" fillId="0" borderId="24" xfId="0" applyFont="1" applyBorder="1" applyProtection="1">
      <protection hidden="1"/>
    </xf>
    <xf numFmtId="0" fontId="8" fillId="2" borderId="1" xfId="0" applyFont="1" applyFill="1" applyBorder="1" applyProtection="1">
      <protection hidden="1"/>
    </xf>
    <xf numFmtId="0" fontId="8" fillId="0" borderId="25" xfId="0" applyFont="1" applyBorder="1" applyProtection="1">
      <protection hidden="1"/>
    </xf>
    <xf numFmtId="0" fontId="8" fillId="0" borderId="26" xfId="0" applyFont="1" applyBorder="1" applyProtection="1">
      <protection hidden="1"/>
    </xf>
    <xf numFmtId="0" fontId="8" fillId="0" borderId="21" xfId="0" applyFont="1" applyBorder="1" applyProtection="1">
      <protection hidden="1"/>
    </xf>
    <xf numFmtId="0" fontId="8" fillId="0" borderId="22" xfId="0" applyFont="1" applyBorder="1" applyProtection="1">
      <protection hidden="1"/>
    </xf>
    <xf numFmtId="0" fontId="15" fillId="0" borderId="1" xfId="0" applyFont="1" applyBorder="1" applyProtection="1">
      <protection hidden="1"/>
    </xf>
    <xf numFmtId="0" fontId="15" fillId="22" borderId="1" xfId="0" applyFont="1" applyFill="1" applyBorder="1" applyProtection="1">
      <protection locked="0" hidden="1"/>
    </xf>
    <xf numFmtId="0" fontId="15" fillId="0" borderId="0" xfId="0" applyFont="1" applyProtection="1">
      <protection hidden="1"/>
    </xf>
    <xf numFmtId="0" fontId="15" fillId="0" borderId="1" xfId="0" applyFont="1" applyBorder="1" applyAlignment="1" applyProtection="1">
      <alignment vertical="top" wrapText="1"/>
      <protection hidden="1"/>
    </xf>
    <xf numFmtId="0" fontId="15" fillId="0" borderId="1" xfId="0" applyFont="1" applyBorder="1" applyAlignment="1" applyProtection="1">
      <alignment vertical="top"/>
      <protection hidden="1"/>
    </xf>
    <xf numFmtId="0" fontId="17" fillId="17" borderId="2" xfId="0" applyFont="1" applyFill="1" applyBorder="1" applyProtection="1">
      <protection hidden="1"/>
    </xf>
    <xf numFmtId="0" fontId="15" fillId="17" borderId="3" xfId="0" applyFont="1" applyFill="1" applyBorder="1" applyProtection="1">
      <protection hidden="1"/>
    </xf>
    <xf numFmtId="0" fontId="15" fillId="17" borderId="9" xfId="0" applyFont="1" applyFill="1" applyBorder="1" applyProtection="1">
      <protection hidden="1"/>
    </xf>
    <xf numFmtId="0" fontId="15" fillId="17" borderId="4" xfId="0" applyFont="1" applyFill="1" applyBorder="1" applyProtection="1">
      <protection hidden="1"/>
    </xf>
    <xf numFmtId="0" fontId="15" fillId="17" borderId="5" xfId="0" applyFont="1" applyFill="1" applyBorder="1" applyProtection="1">
      <protection hidden="1"/>
    </xf>
    <xf numFmtId="0" fontId="15" fillId="17" borderId="7" xfId="0" applyFont="1" applyFill="1" applyBorder="1" applyProtection="1">
      <protection hidden="1"/>
    </xf>
    <xf numFmtId="0" fontId="15" fillId="17" borderId="1" xfId="0" applyFont="1" applyFill="1" applyBorder="1" applyProtection="1">
      <protection hidden="1"/>
    </xf>
    <xf numFmtId="0" fontId="15" fillId="17" borderId="14" xfId="0" applyFont="1" applyFill="1" applyBorder="1" applyProtection="1">
      <protection hidden="1"/>
    </xf>
    <xf numFmtId="0" fontId="15" fillId="17" borderId="8" xfId="0" applyFont="1" applyFill="1" applyBorder="1" applyProtection="1">
      <protection hidden="1"/>
    </xf>
    <xf numFmtId="0" fontId="15" fillId="0" borderId="8" xfId="0" applyFont="1" applyBorder="1" applyProtection="1">
      <protection hidden="1"/>
    </xf>
    <xf numFmtId="0" fontId="15" fillId="22" borderId="8" xfId="0" applyFont="1" applyFill="1" applyBorder="1" applyProtection="1">
      <protection locked="0" hidden="1"/>
    </xf>
    <xf numFmtId="0" fontId="15" fillId="0" borderId="1" xfId="0" applyFont="1" applyBorder="1" applyProtection="1">
      <protection locked="0" hidden="1"/>
    </xf>
    <xf numFmtId="0" fontId="15" fillId="0" borderId="6" xfId="0" applyFont="1" applyBorder="1" applyProtection="1">
      <protection hidden="1"/>
    </xf>
    <xf numFmtId="0" fontId="15" fillId="23" borderId="1" xfId="0" applyFont="1" applyFill="1" applyBorder="1" applyAlignment="1" applyProtection="1">
      <alignment horizontal="left"/>
      <protection locked="0" hidden="1"/>
    </xf>
    <xf numFmtId="0" fontId="15" fillId="0" borderId="2" xfId="0" applyFont="1" applyBorder="1" applyProtection="1">
      <protection hidden="1"/>
    </xf>
    <xf numFmtId="0" fontId="15" fillId="0" borderId="12" xfId="0" applyFont="1" applyBorder="1" applyProtection="1">
      <protection hidden="1"/>
    </xf>
    <xf numFmtId="0" fontId="15" fillId="0" borderId="3" xfId="0" applyFont="1" applyBorder="1" applyProtection="1">
      <protection hidden="1"/>
    </xf>
    <xf numFmtId="0" fontId="15" fillId="0" borderId="4" xfId="0" applyFont="1" applyBorder="1" applyAlignment="1" applyProtection="1">
      <alignment horizontal="center"/>
      <protection hidden="1"/>
    </xf>
    <xf numFmtId="0" fontId="15" fillId="0" borderId="5" xfId="0" applyFont="1" applyBorder="1" applyAlignment="1" applyProtection="1">
      <alignment horizontal="center"/>
      <protection hidden="1"/>
    </xf>
    <xf numFmtId="0" fontId="15" fillId="0" borderId="11" xfId="0" applyFont="1" applyBorder="1" applyProtection="1">
      <protection hidden="1"/>
    </xf>
    <xf numFmtId="0" fontId="15" fillId="0" borderId="13" xfId="0" applyFont="1" applyBorder="1" applyProtection="1">
      <protection hidden="1"/>
    </xf>
    <xf numFmtId="0" fontId="15" fillId="0" borderId="7" xfId="0" applyFont="1" applyBorder="1" applyProtection="1">
      <protection hidden="1"/>
    </xf>
    <xf numFmtId="0" fontId="15" fillId="0" borderId="4" xfId="0" applyFont="1" applyBorder="1" applyProtection="1">
      <protection hidden="1"/>
    </xf>
    <xf numFmtId="0" fontId="15" fillId="0" borderId="14" xfId="0" applyFont="1" applyBorder="1" applyProtection="1">
      <protection hidden="1"/>
    </xf>
    <xf numFmtId="0" fontId="15" fillId="0" borderId="5" xfId="0" applyFont="1" applyBorder="1" applyProtection="1">
      <protection hidden="1"/>
    </xf>
    <xf numFmtId="0" fontId="15" fillId="17" borderId="6" xfId="0" applyFont="1" applyFill="1" applyBorder="1" applyProtection="1">
      <protection hidden="1"/>
    </xf>
    <xf numFmtId="0" fontId="15" fillId="17" borderId="23" xfId="0" applyFont="1" applyFill="1" applyBorder="1" applyProtection="1">
      <protection hidden="1"/>
    </xf>
    <xf numFmtId="0" fontId="17" fillId="17" borderId="1" xfId="0" applyFont="1" applyFill="1" applyBorder="1" applyProtection="1">
      <protection hidden="1"/>
    </xf>
    <xf numFmtId="3" fontId="15" fillId="22" borderId="1" xfId="0" applyNumberFormat="1" applyFont="1" applyFill="1" applyBorder="1" applyProtection="1">
      <protection locked="0" hidden="1"/>
    </xf>
    <xf numFmtId="0" fontId="19" fillId="0" borderId="0" xfId="0" applyFont="1" applyProtection="1">
      <protection hidden="1"/>
    </xf>
    <xf numFmtId="0" fontId="15" fillId="17" borderId="2" xfId="0" applyFont="1" applyFill="1" applyBorder="1" applyAlignment="1" applyProtection="1">
      <alignment vertical="top" wrapText="1"/>
      <protection hidden="1"/>
    </xf>
    <xf numFmtId="0" fontId="15" fillId="17" borderId="12" xfId="0" applyFont="1" applyFill="1" applyBorder="1" applyProtection="1">
      <protection hidden="1"/>
    </xf>
    <xf numFmtId="0" fontId="15" fillId="17" borderId="3" xfId="0" applyFont="1" applyFill="1" applyBorder="1" applyAlignment="1" applyProtection="1">
      <alignment vertical="top" wrapText="1"/>
      <protection hidden="1"/>
    </xf>
    <xf numFmtId="0" fontId="15" fillId="17" borderId="1" xfId="0" applyFont="1" applyFill="1" applyBorder="1" applyAlignment="1" applyProtection="1">
      <alignment vertical="top"/>
      <protection hidden="1"/>
    </xf>
    <xf numFmtId="0" fontId="15" fillId="17" borderId="1" xfId="0" applyFont="1" applyFill="1" applyBorder="1" applyAlignment="1" applyProtection="1">
      <alignment vertical="top" wrapText="1"/>
      <protection hidden="1"/>
    </xf>
    <xf numFmtId="0" fontId="17" fillId="17" borderId="1" xfId="0" applyFont="1" applyFill="1" applyBorder="1" applyAlignment="1" applyProtection="1">
      <alignment vertical="top" wrapText="1"/>
      <protection hidden="1"/>
    </xf>
    <xf numFmtId="0" fontId="15" fillId="17" borderId="4" xfId="0" applyFont="1" applyFill="1" applyBorder="1" applyAlignment="1" applyProtection="1">
      <alignment vertical="top" wrapText="1"/>
      <protection hidden="1"/>
    </xf>
    <xf numFmtId="0" fontId="15" fillId="17" borderId="14" xfId="0" applyFont="1" applyFill="1" applyBorder="1" applyAlignment="1" applyProtection="1">
      <alignment horizontal="left" vertical="top" wrapText="1"/>
      <protection hidden="1"/>
    </xf>
    <xf numFmtId="0" fontId="15" fillId="17" borderId="5" xfId="0" applyFont="1" applyFill="1" applyBorder="1" applyAlignment="1" applyProtection="1">
      <alignment vertical="top" wrapText="1"/>
      <protection hidden="1"/>
    </xf>
    <xf numFmtId="3" fontId="18" fillId="0" borderId="1" xfId="0" applyNumberFormat="1" applyFont="1" applyBorder="1" applyProtection="1">
      <protection hidden="1"/>
    </xf>
    <xf numFmtId="3" fontId="15" fillId="0" borderId="1" xfId="0" applyNumberFormat="1" applyFont="1" applyBorder="1" applyProtection="1">
      <protection hidden="1"/>
    </xf>
    <xf numFmtId="3" fontId="17" fillId="0" borderId="1" xfId="0" applyNumberFormat="1" applyFont="1" applyBorder="1" applyProtection="1">
      <protection hidden="1"/>
    </xf>
    <xf numFmtId="0" fontId="15" fillId="0" borderId="1" xfId="0" applyFont="1" applyBorder="1" applyAlignment="1" applyProtection="1">
      <alignment wrapText="1"/>
      <protection hidden="1"/>
    </xf>
    <xf numFmtId="0" fontId="15" fillId="0" borderId="0" xfId="0" applyFont="1" applyAlignment="1">
      <alignment horizontal="right"/>
    </xf>
    <xf numFmtId="3" fontId="15" fillId="23" borderId="1" xfId="0" applyNumberFormat="1" applyFont="1" applyFill="1" applyBorder="1" applyProtection="1">
      <protection locked="0" hidden="1"/>
    </xf>
    <xf numFmtId="9" fontId="15" fillId="0" borderId="1" xfId="0" applyNumberFormat="1" applyFont="1" applyBorder="1" applyAlignment="1" applyProtection="1">
      <alignment horizontal="right"/>
      <protection hidden="1"/>
    </xf>
    <xf numFmtId="0" fontId="15" fillId="17" borderId="12" xfId="0" applyFont="1" applyFill="1" applyBorder="1" applyAlignment="1" applyProtection="1">
      <alignment vertical="top" wrapText="1"/>
      <protection hidden="1"/>
    </xf>
    <xf numFmtId="0" fontId="15" fillId="17" borderId="14" xfId="0" applyFont="1" applyFill="1" applyBorder="1" applyAlignment="1" applyProtection="1">
      <alignment vertical="top" wrapText="1"/>
      <protection hidden="1"/>
    </xf>
    <xf numFmtId="3" fontId="22" fillId="0" borderId="1" xfId="0" applyNumberFormat="1" applyFont="1" applyBorder="1" applyProtection="1">
      <protection hidden="1"/>
    </xf>
    <xf numFmtId="0" fontId="15" fillId="17" borderId="1" xfId="0" applyFont="1" applyFill="1" applyBorder="1" applyAlignment="1" applyProtection="1">
      <alignment wrapText="1"/>
      <protection hidden="1"/>
    </xf>
    <xf numFmtId="164" fontId="15" fillId="0" borderId="1" xfId="0" applyNumberFormat="1" applyFont="1" applyBorder="1" applyProtection="1">
      <protection hidden="1"/>
    </xf>
    <xf numFmtId="0" fontId="15" fillId="18" borderId="1" xfId="0" applyFont="1" applyFill="1" applyBorder="1" applyProtection="1">
      <protection hidden="1"/>
    </xf>
    <xf numFmtId="164" fontId="15" fillId="18" borderId="1" xfId="0" applyNumberFormat="1" applyFont="1" applyFill="1" applyBorder="1" applyProtection="1">
      <protection hidden="1"/>
    </xf>
    <xf numFmtId="3" fontId="17" fillId="18" borderId="1" xfId="0" applyNumberFormat="1" applyFont="1" applyFill="1" applyBorder="1" applyProtection="1">
      <protection hidden="1"/>
    </xf>
    <xf numFmtId="0" fontId="8" fillId="0" borderId="0" xfId="0" applyFont="1" applyAlignment="1" applyProtection="1">
      <alignment wrapText="1"/>
      <protection hidden="1"/>
    </xf>
    <xf numFmtId="0" fontId="8" fillId="23" borderId="1" xfId="0" applyFont="1" applyFill="1" applyBorder="1" applyProtection="1">
      <protection locked="0" hidden="1"/>
    </xf>
    <xf numFmtId="0" fontId="8" fillId="23" borderId="1" xfId="0" applyFont="1" applyFill="1" applyBorder="1" applyAlignment="1" applyProtection="1">
      <alignment vertical="top" wrapText="1"/>
      <protection locked="0" hidden="1"/>
    </xf>
    <xf numFmtId="0" fontId="8" fillId="0" borderId="1" xfId="0" applyFont="1" applyBorder="1" applyAlignment="1" applyProtection="1">
      <alignment wrapText="1"/>
      <protection locked="0" hidden="1"/>
    </xf>
    <xf numFmtId="0" fontId="15" fillId="23" borderId="1" xfId="0" applyFont="1" applyFill="1" applyBorder="1" applyProtection="1">
      <protection locked="0" hidden="1"/>
    </xf>
    <xf numFmtId="0" fontId="15" fillId="22" borderId="1" xfId="0" applyFont="1" applyFill="1" applyBorder="1" applyProtection="1">
      <protection hidden="1"/>
    </xf>
    <xf numFmtId="0" fontId="17" fillId="18" borderId="1" xfId="0" applyFont="1" applyFill="1" applyBorder="1" applyProtection="1">
      <protection hidden="1"/>
    </xf>
    <xf numFmtId="0" fontId="15" fillId="22" borderId="6" xfId="0" applyFont="1" applyFill="1" applyBorder="1" applyAlignment="1" applyProtection="1">
      <alignment vertical="center"/>
      <protection hidden="1"/>
    </xf>
    <xf numFmtId="0" fontId="15" fillId="22" borderId="7" xfId="0" applyFont="1" applyFill="1" applyBorder="1" applyAlignment="1" applyProtection="1">
      <alignment vertical="center"/>
      <protection hidden="1"/>
    </xf>
    <xf numFmtId="0" fontId="15" fillId="23" borderId="6" xfId="0" applyFont="1" applyFill="1" applyBorder="1" applyAlignment="1" applyProtection="1">
      <alignment vertical="center"/>
      <protection hidden="1"/>
    </xf>
    <xf numFmtId="0" fontId="15" fillId="23" borderId="7" xfId="0" applyFont="1" applyFill="1" applyBorder="1" applyAlignment="1" applyProtection="1">
      <alignment vertical="center"/>
      <protection hidden="1"/>
    </xf>
    <xf numFmtId="0" fontId="24" fillId="0" borderId="0" xfId="0" applyFont="1"/>
    <xf numFmtId="0" fontId="25" fillId="0" borderId="0" xfId="0" applyFont="1"/>
    <xf numFmtId="0" fontId="8" fillId="0" borderId="7" xfId="0" applyFont="1" applyBorder="1"/>
    <xf numFmtId="0" fontId="9" fillId="6" borderId="1" xfId="0" applyFont="1" applyFill="1" applyBorder="1"/>
    <xf numFmtId="0" fontId="8" fillId="17" borderId="6" xfId="0" applyFont="1" applyFill="1" applyBorder="1"/>
    <xf numFmtId="0" fontId="8" fillId="17" borderId="23" xfId="0" applyFont="1" applyFill="1" applyBorder="1"/>
    <xf numFmtId="0" fontId="8" fillId="17" borderId="7" xfId="0" applyFont="1" applyFill="1" applyBorder="1"/>
    <xf numFmtId="0" fontId="8" fillId="9" borderId="1" xfId="0" applyFont="1" applyFill="1" applyBorder="1"/>
    <xf numFmtId="0" fontId="8" fillId="0" borderId="15" xfId="0" applyFont="1" applyBorder="1"/>
    <xf numFmtId="0" fontId="8" fillId="0" borderId="16" xfId="0" applyFont="1" applyBorder="1"/>
    <xf numFmtId="0" fontId="8" fillId="0" borderId="17" xfId="0" applyFont="1" applyBorder="1"/>
    <xf numFmtId="0" fontId="8" fillId="0" borderId="18" xfId="0" applyFont="1" applyBorder="1"/>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0" fontId="15" fillId="17" borderId="1" xfId="0" applyFont="1" applyFill="1" applyBorder="1"/>
    <xf numFmtId="1" fontId="9" fillId="0" borderId="1" xfId="0" applyNumberFormat="1" applyFont="1" applyBorder="1" applyProtection="1">
      <protection hidden="1"/>
    </xf>
    <xf numFmtId="166" fontId="18" fillId="0" borderId="1" xfId="0" applyNumberFormat="1" applyFont="1" applyBorder="1" applyProtection="1">
      <protection hidden="1"/>
    </xf>
    <xf numFmtId="3" fontId="8" fillId="0" borderId="0" xfId="0" applyNumberFormat="1" applyFont="1" applyProtection="1">
      <protection hidden="1"/>
    </xf>
    <xf numFmtId="0" fontId="9" fillId="18" borderId="1" xfId="0" applyFont="1" applyFill="1" applyBorder="1" applyProtection="1">
      <protection hidden="1"/>
    </xf>
    <xf numFmtId="0" fontId="20" fillId="0" borderId="0" xfId="0" applyFont="1"/>
    <xf numFmtId="0" fontId="8" fillId="0" borderId="0" xfId="0" applyFont="1" applyAlignment="1">
      <alignment horizontal="left" indent="2"/>
    </xf>
    <xf numFmtId="0" fontId="8" fillId="0" borderId="9" xfId="0" applyFont="1" applyBorder="1" applyProtection="1">
      <protection hidden="1"/>
    </xf>
    <xf numFmtId="3" fontId="17" fillId="8" borderId="1" xfId="0" applyNumberFormat="1" applyFont="1" applyFill="1" applyBorder="1" applyProtection="1">
      <protection hidden="1"/>
    </xf>
    <xf numFmtId="3" fontId="17" fillId="8" borderId="7" xfId="0" applyNumberFormat="1" applyFont="1" applyFill="1" applyBorder="1" applyProtection="1">
      <protection hidden="1"/>
    </xf>
    <xf numFmtId="0" fontId="17" fillId="17" borderId="1" xfId="0" applyFont="1" applyFill="1" applyBorder="1" applyAlignment="1" applyProtection="1">
      <alignment vertical="top"/>
      <protection hidden="1"/>
    </xf>
    <xf numFmtId="0" fontId="15" fillId="17" borderId="7" xfId="0" applyFont="1" applyFill="1" applyBorder="1" applyAlignment="1" applyProtection="1">
      <alignment vertical="top"/>
      <protection hidden="1"/>
    </xf>
    <xf numFmtId="0" fontId="17" fillId="8" borderId="1" xfId="0" applyFont="1" applyFill="1" applyBorder="1" applyProtection="1">
      <protection hidden="1"/>
    </xf>
    <xf numFmtId="9" fontId="17" fillId="8" borderId="1" xfId="0" applyNumberFormat="1" applyFont="1" applyFill="1" applyBorder="1" applyProtection="1">
      <protection hidden="1"/>
    </xf>
    <xf numFmtId="0" fontId="19" fillId="0" borderId="0" xfId="0" applyFont="1" applyAlignment="1" applyProtection="1">
      <alignment vertical="top" wrapText="1"/>
      <protection hidden="1"/>
    </xf>
    <xf numFmtId="3" fontId="8" fillId="0" borderId="0" xfId="0" applyNumberFormat="1" applyFont="1"/>
    <xf numFmtId="0" fontId="8" fillId="2" borderId="0" xfId="0" applyFont="1" applyFill="1"/>
    <xf numFmtId="9" fontId="17" fillId="18" borderId="1" xfId="0" applyNumberFormat="1" applyFont="1" applyFill="1" applyBorder="1" applyProtection="1">
      <protection hidden="1"/>
    </xf>
    <xf numFmtId="9" fontId="18" fillId="0" borderId="1" xfId="0" applyNumberFormat="1" applyFont="1" applyBorder="1" applyAlignment="1" applyProtection="1">
      <alignment vertical="center"/>
      <protection hidden="1"/>
    </xf>
    <xf numFmtId="0" fontId="8" fillId="5" borderId="1" xfId="0" applyFont="1" applyFill="1" applyBorder="1"/>
    <xf numFmtId="1" fontId="8" fillId="0" borderId="1" xfId="0" applyNumberFormat="1" applyFont="1" applyBorder="1"/>
    <xf numFmtId="0" fontId="8" fillId="17" borderId="0" xfId="0" applyFont="1" applyFill="1"/>
    <xf numFmtId="0" fontId="8" fillId="18" borderId="0" xfId="0" applyFont="1" applyFill="1"/>
    <xf numFmtId="0" fontId="8" fillId="19" borderId="0" xfId="0" applyFont="1" applyFill="1"/>
    <xf numFmtId="0" fontId="8" fillId="20" borderId="0" xfId="0" applyFont="1" applyFill="1"/>
    <xf numFmtId="0" fontId="8" fillId="21" borderId="0" xfId="0" applyFont="1" applyFill="1"/>
    <xf numFmtId="0" fontId="8" fillId="22" borderId="0" xfId="0" applyFont="1" applyFill="1"/>
    <xf numFmtId="0" fontId="8" fillId="24" borderId="0" xfId="0" applyFont="1" applyFill="1"/>
    <xf numFmtId="14" fontId="8" fillId="0" borderId="0" xfId="0" applyNumberFormat="1" applyFont="1"/>
    <xf numFmtId="1" fontId="8" fillId="0" borderId="8" xfId="0" applyNumberFormat="1" applyFont="1" applyBorder="1"/>
    <xf numFmtId="1" fontId="8" fillId="2" borderId="8" xfId="0" applyNumberFormat="1" applyFont="1" applyFill="1" applyBorder="1"/>
    <xf numFmtId="1" fontId="8" fillId="2" borderId="1" xfId="0" applyNumberFormat="1" applyFont="1" applyFill="1" applyBorder="1"/>
    <xf numFmtId="10" fontId="8" fillId="0" borderId="1" xfId="0" applyNumberFormat="1" applyFont="1" applyBorder="1"/>
    <xf numFmtId="164" fontId="8" fillId="0" borderId="1" xfId="0" applyNumberFormat="1" applyFont="1" applyBorder="1"/>
    <xf numFmtId="2" fontId="8" fillId="0" borderId="0" xfId="0" applyNumberFormat="1" applyFont="1"/>
    <xf numFmtId="0" fontId="8" fillId="8" borderId="1" xfId="0" applyFont="1" applyFill="1" applyBorder="1"/>
    <xf numFmtId="2" fontId="8" fillId="10" borderId="0" xfId="0" applyNumberFormat="1" applyFont="1" applyFill="1"/>
    <xf numFmtId="0" fontId="22" fillId="0" borderId="71" xfId="1" applyFont="1" applyBorder="1" applyAlignment="1">
      <alignment vertical="center" wrapText="1"/>
    </xf>
    <xf numFmtId="1" fontId="22" fillId="0" borderId="67" xfId="1" applyNumberFormat="1" applyFont="1" applyBorder="1" applyAlignment="1">
      <alignment horizontal="center" vertical="center" wrapText="1"/>
    </xf>
    <xf numFmtId="1" fontId="22" fillId="0" borderId="68" xfId="1" applyNumberFormat="1" applyFont="1" applyBorder="1" applyAlignment="1">
      <alignment horizontal="center" vertical="center" wrapText="1"/>
    </xf>
    <xf numFmtId="0" fontId="33" fillId="0" borderId="54" xfId="1" applyFont="1" applyBorder="1" applyAlignment="1">
      <alignment horizontal="right" vertical="center" wrapText="1"/>
    </xf>
    <xf numFmtId="1" fontId="33" fillId="0" borderId="57" xfId="1" applyNumberFormat="1" applyFont="1" applyBorder="1" applyAlignment="1">
      <alignment horizontal="center" vertical="center" wrapText="1"/>
    </xf>
    <xf numFmtId="1" fontId="33" fillId="0" borderId="58" xfId="1" applyNumberFormat="1" applyFont="1" applyBorder="1" applyAlignment="1">
      <alignment horizontal="center" vertical="center" wrapText="1"/>
    </xf>
    <xf numFmtId="0" fontId="22" fillId="0" borderId="53" xfId="1" applyFont="1" applyBorder="1" applyAlignment="1">
      <alignment vertical="center" wrapText="1"/>
    </xf>
    <xf numFmtId="1" fontId="22" fillId="0" borderId="69" xfId="1" applyNumberFormat="1" applyFont="1" applyBorder="1" applyAlignment="1">
      <alignment horizontal="center" vertical="center" wrapText="1"/>
    </xf>
    <xf numFmtId="1" fontId="22" fillId="0" borderId="70" xfId="1" applyNumberFormat="1" applyFont="1" applyBorder="1" applyAlignment="1">
      <alignment horizontal="center" vertical="center" wrapText="1"/>
    </xf>
    <xf numFmtId="0" fontId="22" fillId="0" borderId="55" xfId="1" applyFont="1" applyBorder="1" applyAlignment="1">
      <alignment vertical="center" wrapText="1"/>
    </xf>
    <xf numFmtId="2" fontId="22" fillId="14" borderId="50" xfId="1" applyNumberFormat="1" applyFont="1" applyFill="1" applyBorder="1" applyAlignment="1">
      <alignment horizontal="center" vertical="center" wrapText="1"/>
    </xf>
    <xf numFmtId="2" fontId="22" fillId="14" borderId="46" xfId="1" applyNumberFormat="1" applyFont="1" applyFill="1" applyBorder="1" applyAlignment="1">
      <alignment horizontal="center" vertical="center" wrapText="1"/>
    </xf>
    <xf numFmtId="1" fontId="22" fillId="14" borderId="47" xfId="1" applyNumberFormat="1" applyFont="1" applyFill="1" applyBorder="1" applyAlignment="1">
      <alignment horizontal="center" vertical="center" wrapText="1"/>
    </xf>
    <xf numFmtId="0" fontId="22" fillId="0" borderId="56" xfId="1" applyFont="1" applyBorder="1" applyAlignment="1">
      <alignment vertical="center" wrapText="1"/>
    </xf>
    <xf numFmtId="2" fontId="22" fillId="14" borderId="51" xfId="1" applyNumberFormat="1" applyFont="1" applyFill="1" applyBorder="1" applyAlignment="1">
      <alignment horizontal="center" vertical="center" wrapText="1"/>
    </xf>
    <xf numFmtId="2" fontId="22" fillId="14" borderId="48" xfId="1" applyNumberFormat="1" applyFont="1" applyFill="1" applyBorder="1" applyAlignment="1">
      <alignment horizontal="center" vertical="center" wrapText="1"/>
    </xf>
    <xf numFmtId="1" fontId="22" fillId="14" borderId="49" xfId="1" applyNumberFormat="1" applyFont="1" applyFill="1" applyBorder="1" applyAlignment="1">
      <alignment horizontal="center" vertical="center" wrapText="1"/>
    </xf>
    <xf numFmtId="2" fontId="8" fillId="0" borderId="1" xfId="0" applyNumberFormat="1" applyFont="1" applyBorder="1"/>
    <xf numFmtId="0" fontId="8" fillId="18" borderId="1" xfId="0" applyFont="1" applyFill="1" applyBorder="1"/>
    <xf numFmtId="1" fontId="8" fillId="17" borderId="1" xfId="0" applyNumberFormat="1" applyFont="1" applyFill="1" applyBorder="1"/>
    <xf numFmtId="0" fontId="8" fillId="23" borderId="1" xfId="0" applyFont="1" applyFill="1" applyBorder="1"/>
    <xf numFmtId="10" fontId="8" fillId="2" borderId="0" xfId="0" applyNumberFormat="1" applyFont="1" applyFill="1"/>
    <xf numFmtId="2" fontId="8" fillId="2" borderId="0" xfId="0" applyNumberFormat="1" applyFont="1" applyFill="1"/>
    <xf numFmtId="0" fontId="26" fillId="0" borderId="0" xfId="0" applyFont="1"/>
    <xf numFmtId="0" fontId="27" fillId="18" borderId="52" xfId="1" applyFont="1" applyFill="1" applyBorder="1" applyAlignment="1">
      <alignment vertical="center" wrapText="1"/>
    </xf>
    <xf numFmtId="0" fontId="28" fillId="18" borderId="62" xfId="1" applyFont="1" applyFill="1" applyBorder="1" applyAlignment="1">
      <alignment vertical="center"/>
    </xf>
    <xf numFmtId="0" fontId="28" fillId="18" borderId="63" xfId="1" applyFont="1" applyFill="1" applyBorder="1" applyAlignment="1">
      <alignment vertical="center"/>
    </xf>
    <xf numFmtId="0" fontId="30" fillId="18" borderId="53" xfId="1" applyFont="1" applyFill="1" applyBorder="1" applyAlignment="1">
      <alignment horizontal="right" vertical="center" wrapText="1"/>
    </xf>
    <xf numFmtId="0" fontId="27" fillId="18" borderId="60" xfId="1" applyFont="1" applyFill="1" applyBorder="1" applyAlignment="1">
      <alignment vertical="center" wrapText="1"/>
    </xf>
    <xf numFmtId="0" fontId="32" fillId="18" borderId="64" xfId="1" applyFont="1" applyFill="1" applyBorder="1" applyAlignment="1">
      <alignment horizontal="center" vertical="center" wrapText="1"/>
    </xf>
    <xf numFmtId="0" fontId="32" fillId="18" borderId="65" xfId="1" applyFont="1" applyFill="1" applyBorder="1" applyAlignment="1">
      <alignment horizontal="center" vertical="center" wrapText="1"/>
    </xf>
    <xf numFmtId="0" fontId="32" fillId="18" borderId="66" xfId="1" applyFont="1" applyFill="1" applyBorder="1" applyAlignment="1">
      <alignment horizontal="center" vertical="center" wrapText="1"/>
    </xf>
    <xf numFmtId="0" fontId="31" fillId="23" borderId="50" xfId="1" applyFont="1" applyFill="1" applyBorder="1" applyAlignment="1">
      <alignment horizontal="center" vertical="center"/>
    </xf>
    <xf numFmtId="0" fontId="31" fillId="23" borderId="46" xfId="1" applyFont="1" applyFill="1" applyBorder="1" applyAlignment="1">
      <alignment horizontal="center" vertical="center"/>
    </xf>
    <xf numFmtId="0" fontId="31" fillId="23" borderId="47" xfId="1" applyFont="1" applyFill="1" applyBorder="1" applyAlignment="1">
      <alignment horizontal="center" vertical="center"/>
    </xf>
    <xf numFmtId="0" fontId="28" fillId="18" borderId="61" xfId="1" applyFont="1" applyFill="1" applyBorder="1" applyAlignment="1">
      <alignment vertical="center"/>
    </xf>
    <xf numFmtId="166" fontId="8" fillId="0" borderId="1" xfId="0" applyNumberFormat="1" applyFont="1" applyBorder="1"/>
    <xf numFmtId="0" fontId="14" fillId="0" borderId="0" xfId="0" applyFont="1"/>
    <xf numFmtId="0" fontId="34" fillId="0" borderId="0" xfId="0" applyFont="1"/>
    <xf numFmtId="0" fontId="35" fillId="0" borderId="0" xfId="0" applyFont="1"/>
    <xf numFmtId="0" fontId="15" fillId="22" borderId="1" xfId="0" applyFont="1" applyFill="1" applyBorder="1" applyAlignment="1" applyProtection="1">
      <alignment vertical="top"/>
      <protection locked="0" hidden="1"/>
    </xf>
    <xf numFmtId="0" fontId="16" fillId="0" borderId="0" xfId="0" applyFont="1" applyProtection="1">
      <protection hidden="1"/>
    </xf>
    <xf numFmtId="0" fontId="14" fillId="0" borderId="0" xfId="0" applyFont="1" applyProtection="1">
      <protection hidden="1"/>
    </xf>
    <xf numFmtId="0" fontId="8" fillId="0" borderId="0" xfId="0" applyFont="1" applyAlignment="1" applyProtection="1">
      <alignment horizontal="right"/>
      <protection hidden="1"/>
    </xf>
    <xf numFmtId="0" fontId="8" fillId="0" borderId="0" xfId="0" applyFont="1" applyProtection="1">
      <protection locked="0" hidden="1"/>
    </xf>
    <xf numFmtId="0" fontId="8" fillId="0" borderId="1" xfId="0" applyFont="1" applyBorder="1" applyAlignment="1">
      <alignment vertical="top" wrapText="1"/>
    </xf>
    <xf numFmtId="0" fontId="8" fillId="18" borderId="1" xfId="0" applyFont="1" applyFill="1" applyBorder="1" applyAlignment="1">
      <alignment vertical="top"/>
    </xf>
    <xf numFmtId="0" fontId="8" fillId="25" borderId="1" xfId="0" applyFont="1" applyFill="1" applyBorder="1"/>
    <xf numFmtId="1" fontId="8" fillId="25" borderId="1" xfId="0" applyNumberFormat="1" applyFont="1" applyFill="1" applyBorder="1"/>
    <xf numFmtId="9" fontId="18" fillId="0" borderId="0" xfId="0" applyNumberFormat="1" applyFont="1" applyAlignment="1" applyProtection="1">
      <alignment vertical="center"/>
      <protection hidden="1"/>
    </xf>
    <xf numFmtId="0" fontId="15" fillId="22" borderId="1" xfId="0" applyFont="1" applyFill="1" applyBorder="1" applyProtection="1">
      <protection locked="0"/>
    </xf>
    <xf numFmtId="168" fontId="8" fillId="0" borderId="1" xfId="0" applyNumberFormat="1" applyFont="1" applyBorder="1"/>
    <xf numFmtId="0" fontId="8" fillId="0" borderId="0" xfId="0" applyFont="1" applyAlignment="1">
      <alignment horizontal="left" vertical="top" wrapText="1"/>
    </xf>
    <xf numFmtId="0" fontId="8" fillId="0" borderId="0" xfId="0" applyFont="1" applyAlignment="1">
      <alignment horizontal="left" vertical="top"/>
    </xf>
    <xf numFmtId="0" fontId="8" fillId="17" borderId="1" xfId="0" applyFont="1" applyFill="1" applyBorder="1" applyAlignment="1"/>
    <xf numFmtId="0" fontId="8" fillId="0" borderId="1" xfId="0" applyFont="1" applyBorder="1" applyAlignment="1">
      <alignment horizontal="left"/>
    </xf>
    <xf numFmtId="0" fontId="15" fillId="0" borderId="1" xfId="0" applyFont="1" applyBorder="1" applyAlignment="1" applyProtection="1">
      <alignment horizontal="left" wrapText="1"/>
      <protection hidden="1"/>
    </xf>
    <xf numFmtId="0" fontId="15" fillId="17" borderId="1" xfId="0" applyFont="1" applyFill="1" applyBorder="1" applyAlignment="1" applyProtection="1">
      <alignment horizontal="center" vertical="top"/>
      <protection hidden="1"/>
    </xf>
    <xf numFmtId="0" fontId="15" fillId="22" borderId="1" xfId="0" applyFont="1" applyFill="1" applyBorder="1" applyAlignment="1" applyProtection="1">
      <alignment horizontal="center" vertical="top"/>
      <protection hidden="1"/>
    </xf>
    <xf numFmtId="0" fontId="15" fillId="23" borderId="1" xfId="0" applyFont="1" applyFill="1" applyBorder="1" applyAlignment="1" applyProtection="1">
      <alignment horizontal="center" vertical="top"/>
      <protection hidden="1"/>
    </xf>
    <xf numFmtId="0" fontId="15" fillId="21" borderId="1" xfId="0" applyFont="1" applyFill="1" applyBorder="1" applyAlignment="1" applyProtection="1">
      <alignment horizontal="center" vertical="top"/>
      <protection hidden="1"/>
    </xf>
    <xf numFmtId="3" fontId="15" fillId="0" borderId="1" xfId="0" applyNumberFormat="1" applyFont="1" applyBorder="1" applyAlignment="1" applyProtection="1">
      <alignment horizontal="right"/>
      <protection hidden="1"/>
    </xf>
    <xf numFmtId="0" fontId="15" fillId="18" borderId="1" xfId="0" applyFont="1" applyFill="1" applyBorder="1" applyAlignment="1" applyProtection="1">
      <alignment horizontal="center" vertical="top"/>
      <protection hidden="1"/>
    </xf>
    <xf numFmtId="0" fontId="10" fillId="0" borderId="0" xfId="0" applyFont="1" applyAlignment="1">
      <alignment horizontal="left" vertical="top" wrapText="1"/>
    </xf>
    <xf numFmtId="0" fontId="8" fillId="0" borderId="0" xfId="0" applyFont="1" applyAlignment="1" applyProtection="1">
      <protection hidden="1"/>
    </xf>
    <xf numFmtId="3" fontId="15" fillId="0" borderId="1" xfId="0" applyNumberFormat="1" applyFont="1" applyBorder="1" applyAlignment="1" applyProtection="1">
      <protection hidden="1"/>
    </xf>
    <xf numFmtId="0" fontId="15" fillId="22" borderId="7" xfId="0" applyFont="1" applyFill="1" applyBorder="1" applyAlignment="1" applyProtection="1">
      <alignment horizontal="center" vertical="top"/>
      <protection hidden="1"/>
    </xf>
    <xf numFmtId="0" fontId="15" fillId="0" borderId="1" xfId="0" applyFont="1" applyBorder="1" applyAlignment="1" applyProtection="1">
      <alignment horizontal="right"/>
      <protection hidden="1"/>
    </xf>
    <xf numFmtId="3" fontId="15" fillId="0" borderId="6" xfId="0" applyNumberFormat="1" applyFont="1" applyBorder="1" applyAlignment="1" applyProtection="1">
      <alignment horizontal="right"/>
      <protection hidden="1"/>
    </xf>
    <xf numFmtId="0" fontId="15" fillId="0" borderId="7" xfId="0" applyFont="1" applyBorder="1" applyAlignment="1" applyProtection="1">
      <alignment horizontal="right"/>
      <protection hidden="1"/>
    </xf>
    <xf numFmtId="0" fontId="8" fillId="22" borderId="6" xfId="0" applyFont="1" applyFill="1" applyBorder="1" applyAlignment="1" applyProtection="1">
      <alignment horizontal="left" vertical="top" wrapText="1"/>
      <protection locked="0"/>
    </xf>
    <xf numFmtId="0" fontId="8" fillId="22" borderId="23" xfId="0" applyFont="1" applyFill="1" applyBorder="1" applyAlignment="1" applyProtection="1">
      <alignment horizontal="left" vertical="top" wrapText="1"/>
      <protection locked="0"/>
    </xf>
    <xf numFmtId="0" fontId="8" fillId="22" borderId="7" xfId="0" applyFont="1" applyFill="1" applyBorder="1" applyAlignment="1" applyProtection="1">
      <alignment horizontal="left" vertical="top" wrapText="1"/>
      <protection locked="0"/>
    </xf>
    <xf numFmtId="0" fontId="8" fillId="22" borderId="2" xfId="0" applyFont="1" applyFill="1" applyBorder="1" applyAlignment="1" applyProtection="1">
      <alignment horizontal="left" vertical="top" wrapText="1"/>
      <protection locked="0"/>
    </xf>
    <xf numFmtId="0" fontId="8" fillId="22" borderId="12" xfId="0" applyFont="1" applyFill="1" applyBorder="1" applyAlignment="1" applyProtection="1">
      <alignment horizontal="left" vertical="top" wrapText="1"/>
      <protection locked="0"/>
    </xf>
    <xf numFmtId="0" fontId="8" fillId="22" borderId="3" xfId="0" applyFont="1" applyFill="1" applyBorder="1" applyAlignment="1" applyProtection="1">
      <alignment horizontal="left" vertical="top" wrapText="1"/>
      <protection locked="0"/>
    </xf>
    <xf numFmtId="0" fontId="8" fillId="22" borderId="4" xfId="0" applyFont="1" applyFill="1" applyBorder="1" applyAlignment="1" applyProtection="1">
      <alignment horizontal="left" vertical="top" wrapText="1"/>
      <protection locked="0"/>
    </xf>
    <xf numFmtId="0" fontId="8" fillId="22" borderId="14" xfId="0" applyFont="1" applyFill="1" applyBorder="1" applyAlignment="1" applyProtection="1">
      <alignment horizontal="left" vertical="top" wrapText="1"/>
      <protection locked="0"/>
    </xf>
    <xf numFmtId="0" fontId="8" fillId="22" borderId="5"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protection hidden="1"/>
    </xf>
    <xf numFmtId="0" fontId="15" fillId="0" borderId="6" xfId="0" applyFont="1" applyBorder="1" applyAlignment="1" applyProtection="1">
      <alignment horizontal="left" wrapText="1"/>
      <protection hidden="1"/>
    </xf>
    <xf numFmtId="0" fontId="15" fillId="0" borderId="7" xfId="0" applyFont="1" applyBorder="1" applyAlignment="1" applyProtection="1">
      <alignment horizontal="left" wrapText="1"/>
      <protection hidden="1"/>
    </xf>
    <xf numFmtId="0" fontId="17" fillId="17" borderId="6" xfId="0" applyFont="1" applyFill="1" applyBorder="1" applyAlignment="1" applyProtection="1">
      <alignment horizontal="left" vertical="top" wrapText="1"/>
      <protection hidden="1"/>
    </xf>
    <xf numFmtId="0" fontId="17" fillId="17" borderId="7" xfId="0" applyFont="1" applyFill="1" applyBorder="1" applyAlignment="1" applyProtection="1">
      <alignment horizontal="left" vertical="top" wrapText="1"/>
      <protection hidden="1"/>
    </xf>
    <xf numFmtId="3" fontId="17" fillId="0" borderId="6" xfId="0" applyNumberFormat="1" applyFont="1" applyBorder="1" applyAlignment="1" applyProtection="1">
      <alignment horizontal="right"/>
      <protection hidden="1"/>
    </xf>
    <xf numFmtId="3" fontId="17" fillId="0" borderId="7" xfId="0" applyNumberFormat="1" applyFont="1" applyBorder="1" applyAlignment="1" applyProtection="1">
      <alignment horizontal="right"/>
      <protection hidden="1"/>
    </xf>
    <xf numFmtId="167" fontId="15" fillId="0" borderId="6" xfId="0" applyNumberFormat="1" applyFont="1" applyBorder="1" applyAlignment="1" applyProtection="1">
      <alignment horizontal="center"/>
      <protection hidden="1"/>
    </xf>
    <xf numFmtId="167" fontId="15" fillId="0" borderId="23" xfId="0" applyNumberFormat="1" applyFont="1" applyBorder="1" applyAlignment="1" applyProtection="1">
      <alignment horizontal="center"/>
      <protection hidden="1"/>
    </xf>
    <xf numFmtId="167" fontId="15" fillId="0" borderId="7" xfId="0" applyNumberFormat="1" applyFont="1" applyBorder="1" applyAlignment="1" applyProtection="1">
      <alignment horizontal="center"/>
      <protection hidden="1"/>
    </xf>
    <xf numFmtId="3" fontId="15" fillId="0" borderId="6" xfId="0" applyNumberFormat="1" applyFont="1" applyBorder="1" applyAlignment="1" applyProtection="1">
      <alignment horizontal="center"/>
      <protection hidden="1"/>
    </xf>
    <xf numFmtId="3" fontId="15" fillId="0" borderId="23" xfId="0" applyNumberFormat="1" applyFont="1" applyBorder="1" applyAlignment="1" applyProtection="1">
      <alignment horizontal="center"/>
      <protection hidden="1"/>
    </xf>
    <xf numFmtId="3" fontId="15" fillId="0" borderId="7" xfId="0" applyNumberFormat="1" applyFont="1" applyBorder="1" applyAlignment="1" applyProtection="1">
      <alignment horizontal="center"/>
      <protection hidden="1"/>
    </xf>
    <xf numFmtId="0" fontId="15" fillId="23" borderId="6" xfId="0" applyFont="1" applyFill="1" applyBorder="1" applyAlignment="1" applyProtection="1">
      <alignment horizontal="center"/>
      <protection locked="0" hidden="1"/>
    </xf>
    <xf numFmtId="0" fontId="15" fillId="23" borderId="7" xfId="0" applyFont="1" applyFill="1" applyBorder="1" applyAlignment="1" applyProtection="1">
      <alignment horizontal="center"/>
      <protection locked="0" hidden="1"/>
    </xf>
    <xf numFmtId="0" fontId="9" fillId="3" borderId="35" xfId="0" applyFont="1" applyFill="1" applyBorder="1" applyAlignment="1" applyProtection="1">
      <alignment horizontal="center"/>
      <protection hidden="1"/>
    </xf>
    <xf numFmtId="0" fontId="9" fillId="3" borderId="36" xfId="0" applyFont="1" applyFill="1" applyBorder="1" applyAlignment="1" applyProtection="1">
      <alignment horizontal="center"/>
      <protection hidden="1"/>
    </xf>
    <xf numFmtId="0" fontId="9" fillId="3" borderId="40" xfId="0" applyFont="1" applyFill="1" applyBorder="1" applyAlignment="1" applyProtection="1">
      <alignment horizontal="center"/>
      <protection hidden="1"/>
    </xf>
    <xf numFmtId="0" fontId="9" fillId="4" borderId="41" xfId="0" applyFont="1" applyFill="1" applyBorder="1" applyAlignment="1" applyProtection="1">
      <alignment horizontal="center"/>
      <protection hidden="1"/>
    </xf>
    <xf numFmtId="0" fontId="9" fillId="4" borderId="36" xfId="0" applyFont="1" applyFill="1" applyBorder="1" applyAlignment="1" applyProtection="1">
      <alignment horizontal="center"/>
      <protection hidden="1"/>
    </xf>
    <xf numFmtId="0" fontId="9" fillId="4" borderId="40" xfId="0" applyFont="1" applyFill="1" applyBorder="1" applyAlignment="1" applyProtection="1">
      <alignment horizontal="center"/>
      <protection hidden="1"/>
    </xf>
    <xf numFmtId="0" fontId="8" fillId="0" borderId="37" xfId="0" applyFont="1" applyBorder="1" applyAlignment="1" applyProtection="1">
      <alignment horizontal="center"/>
      <protection hidden="1"/>
    </xf>
    <xf numFmtId="0" fontId="8" fillId="0" borderId="38" xfId="0" applyFont="1" applyBorder="1" applyAlignment="1" applyProtection="1">
      <alignment horizontal="center"/>
      <protection hidden="1"/>
    </xf>
    <xf numFmtId="0" fontId="8" fillId="0" borderId="39"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8" borderId="1" xfId="0" applyFont="1" applyFill="1" applyBorder="1" applyAlignment="1" applyProtection="1">
      <alignment horizontal="center"/>
      <protection hidden="1"/>
    </xf>
    <xf numFmtId="0" fontId="15" fillId="0" borderId="1" xfId="0" applyFont="1" applyBorder="1" applyAlignment="1" applyProtection="1">
      <alignment horizontal="center"/>
      <protection locked="0" hidden="1"/>
    </xf>
    <xf numFmtId="0" fontId="15" fillId="0" borderId="6" xfId="0" applyFont="1" applyBorder="1" applyAlignment="1" applyProtection="1">
      <alignment horizontal="center"/>
      <protection locked="0" hidden="1"/>
    </xf>
    <xf numFmtId="0" fontId="15" fillId="0" borderId="7" xfId="0" applyFont="1" applyBorder="1" applyAlignment="1" applyProtection="1">
      <alignment horizontal="center"/>
      <protection locked="0" hidden="1"/>
    </xf>
    <xf numFmtId="0" fontId="8" fillId="0" borderId="14" xfId="0" applyFont="1" applyBorder="1" applyAlignment="1" applyProtection="1">
      <alignment horizontal="center"/>
      <protection hidden="1"/>
    </xf>
    <xf numFmtId="0" fontId="9" fillId="12" borderId="35" xfId="0" applyFont="1" applyFill="1" applyBorder="1" applyAlignment="1" applyProtection="1">
      <alignment horizontal="center"/>
      <protection hidden="1"/>
    </xf>
    <xf numFmtId="0" fontId="9" fillId="12" borderId="36" xfId="0" applyFont="1" applyFill="1" applyBorder="1" applyAlignment="1" applyProtection="1">
      <alignment horizontal="center"/>
      <protection hidden="1"/>
    </xf>
    <xf numFmtId="0" fontId="9" fillId="12" borderId="40" xfId="0" applyFont="1" applyFill="1" applyBorder="1" applyAlignment="1" applyProtection="1">
      <alignment horizontal="center"/>
      <protection hidden="1"/>
    </xf>
    <xf numFmtId="0" fontId="17" fillId="17" borderId="1" xfId="0" applyFont="1" applyFill="1" applyBorder="1" applyAlignment="1" applyProtection="1">
      <alignment horizontal="left"/>
      <protection hidden="1"/>
    </xf>
    <xf numFmtId="0" fontId="15" fillId="17" borderId="9" xfId="0" applyFont="1" applyFill="1" applyBorder="1" applyAlignment="1" applyProtection="1">
      <alignment horizontal="left" wrapText="1"/>
      <protection hidden="1"/>
    </xf>
    <xf numFmtId="0" fontId="15" fillId="17" borderId="8" xfId="0" applyFont="1" applyFill="1" applyBorder="1" applyAlignment="1" applyProtection="1">
      <alignment horizontal="left" wrapText="1"/>
      <protection hidden="1"/>
    </xf>
    <xf numFmtId="0" fontId="15" fillId="0" borderId="2"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15" fillId="18" borderId="6" xfId="0" applyFont="1" applyFill="1" applyBorder="1" applyAlignment="1" applyProtection="1">
      <alignment horizontal="center" vertical="top"/>
      <protection hidden="1"/>
    </xf>
    <xf numFmtId="0" fontId="15" fillId="18" borderId="7" xfId="0" applyFont="1" applyFill="1" applyBorder="1" applyAlignment="1" applyProtection="1">
      <alignment horizontal="center" vertical="top"/>
      <protection hidden="1"/>
    </xf>
    <xf numFmtId="0" fontId="15" fillId="24" borderId="6" xfId="0" applyFont="1" applyFill="1" applyBorder="1" applyAlignment="1" applyProtection="1">
      <alignment horizontal="center" vertical="top" wrapText="1"/>
      <protection hidden="1"/>
    </xf>
    <xf numFmtId="0" fontId="15" fillId="24" borderId="7" xfId="0" applyFont="1" applyFill="1" applyBorder="1" applyAlignment="1" applyProtection="1">
      <alignment horizontal="center" vertical="top"/>
      <protection hidden="1"/>
    </xf>
    <xf numFmtId="0" fontId="15" fillId="22" borderId="6" xfId="0" applyFont="1" applyFill="1" applyBorder="1" applyAlignment="1" applyProtection="1">
      <alignment horizontal="center" vertical="top"/>
      <protection hidden="1"/>
    </xf>
    <xf numFmtId="0" fontId="15" fillId="22" borderId="6" xfId="0" applyFont="1" applyFill="1" applyBorder="1" applyAlignment="1" applyProtection="1">
      <alignment horizontal="left" vertical="top"/>
      <protection locked="0" hidden="1"/>
    </xf>
    <xf numFmtId="0" fontId="15" fillId="22" borderId="23" xfId="0" applyFont="1" applyFill="1" applyBorder="1" applyAlignment="1" applyProtection="1">
      <alignment horizontal="left" vertical="top"/>
      <protection locked="0" hidden="1"/>
    </xf>
    <xf numFmtId="0" fontId="15" fillId="22" borderId="7" xfId="0" applyFont="1" applyFill="1" applyBorder="1" applyAlignment="1" applyProtection="1">
      <alignment horizontal="left" vertical="top"/>
      <protection locked="0" hidden="1"/>
    </xf>
    <xf numFmtId="0" fontId="15" fillId="23" borderId="1" xfId="0" applyFont="1" applyFill="1" applyBorder="1" applyAlignment="1" applyProtection="1">
      <alignment horizontal="left"/>
      <protection locked="0" hidden="1"/>
    </xf>
    <xf numFmtId="0" fontId="15" fillId="23" borderId="6" xfId="0" applyFont="1" applyFill="1" applyBorder="1" applyAlignment="1" applyProtection="1">
      <alignment horizontal="left"/>
      <protection locked="0" hidden="1"/>
    </xf>
    <xf numFmtId="0" fontId="15" fillId="23" borderId="23" xfId="0" applyFont="1" applyFill="1" applyBorder="1" applyAlignment="1" applyProtection="1">
      <alignment horizontal="left"/>
      <protection locked="0" hidden="1"/>
    </xf>
    <xf numFmtId="0" fontId="15" fillId="23" borderId="7" xfId="0" applyFont="1" applyFill="1" applyBorder="1" applyAlignment="1" applyProtection="1">
      <alignment horizontal="left"/>
      <protection locked="0" hidden="1"/>
    </xf>
    <xf numFmtId="0" fontId="15" fillId="23" borderId="2" xfId="0" applyFont="1" applyFill="1" applyBorder="1" applyAlignment="1" applyProtection="1">
      <alignment horizontal="left"/>
      <protection locked="0" hidden="1"/>
    </xf>
    <xf numFmtId="0" fontId="15" fillId="23" borderId="12" xfId="0" applyFont="1" applyFill="1" applyBorder="1" applyAlignment="1" applyProtection="1">
      <alignment horizontal="left"/>
      <protection locked="0" hidden="1"/>
    </xf>
    <xf numFmtId="0" fontId="15" fillId="23" borderId="3" xfId="0" applyFont="1" applyFill="1" applyBorder="1" applyAlignment="1" applyProtection="1">
      <alignment horizontal="left"/>
      <protection locked="0" hidden="1"/>
    </xf>
    <xf numFmtId="0" fontId="8" fillId="0" borderId="0" xfId="0" applyFont="1" applyAlignment="1"/>
    <xf numFmtId="0" fontId="15" fillId="17" borderId="6" xfId="0" applyFont="1" applyFill="1" applyBorder="1" applyAlignment="1" applyProtection="1">
      <alignment horizontal="center" vertical="center" wrapText="1"/>
      <protection hidden="1"/>
    </xf>
    <xf numFmtId="0" fontId="15" fillId="17" borderId="23" xfId="0" applyFont="1" applyFill="1" applyBorder="1" applyAlignment="1" applyProtection="1">
      <alignment horizontal="center" vertical="center" wrapText="1"/>
      <protection hidden="1"/>
    </xf>
    <xf numFmtId="0" fontId="15" fillId="23" borderId="2" xfId="0" applyFont="1" applyFill="1" applyBorder="1" applyAlignment="1" applyProtection="1">
      <alignment horizontal="center"/>
      <protection locked="0" hidden="1"/>
    </xf>
    <xf numFmtId="0" fontId="15" fillId="23" borderId="12" xfId="0" applyFont="1" applyFill="1" applyBorder="1" applyAlignment="1" applyProtection="1">
      <alignment horizontal="center"/>
      <protection locked="0" hidden="1"/>
    </xf>
    <xf numFmtId="0" fontId="15" fillId="23" borderId="3" xfId="0" applyFont="1" applyFill="1" applyBorder="1" applyAlignment="1" applyProtection="1">
      <alignment horizontal="center"/>
      <protection locked="0" hidden="1"/>
    </xf>
    <xf numFmtId="0" fontId="15" fillId="23" borderId="2" xfId="0" applyFont="1" applyFill="1" applyBorder="1" applyAlignment="1" applyProtection="1">
      <protection locked="0" hidden="1"/>
    </xf>
    <xf numFmtId="0" fontId="15" fillId="23" borderId="12" xfId="0" applyFont="1" applyFill="1" applyBorder="1" applyAlignment="1" applyProtection="1">
      <protection locked="0" hidden="1"/>
    </xf>
    <xf numFmtId="0" fontId="15" fillId="23" borderId="3" xfId="0" applyFont="1" applyFill="1" applyBorder="1" applyAlignment="1" applyProtection="1">
      <protection locked="0" hidden="1"/>
    </xf>
    <xf numFmtId="3" fontId="15" fillId="22" borderId="6" xfId="0" applyNumberFormat="1" applyFont="1" applyFill="1" applyBorder="1" applyAlignment="1" applyProtection="1">
      <alignment horizontal="center"/>
      <protection locked="0" hidden="1"/>
    </xf>
    <xf numFmtId="3" fontId="15" fillId="22" borderId="23" xfId="0" applyNumberFormat="1" applyFont="1" applyFill="1" applyBorder="1" applyAlignment="1" applyProtection="1">
      <alignment horizontal="center"/>
      <protection locked="0" hidden="1"/>
    </xf>
    <xf numFmtId="3" fontId="15" fillId="22" borderId="7" xfId="0" applyNumberFormat="1" applyFont="1" applyFill="1" applyBorder="1" applyAlignment="1" applyProtection="1">
      <alignment horizontal="center"/>
      <protection locked="0" hidden="1"/>
    </xf>
    <xf numFmtId="0" fontId="17" fillId="17" borderId="9" xfId="0" applyFont="1" applyFill="1" applyBorder="1" applyAlignment="1" applyProtection="1">
      <alignment horizontal="left" vertical="top" wrapText="1"/>
      <protection hidden="1"/>
    </xf>
    <xf numFmtId="0" fontId="17" fillId="17" borderId="8" xfId="0" applyFont="1" applyFill="1" applyBorder="1" applyAlignment="1" applyProtection="1">
      <alignment horizontal="left" vertical="top" wrapText="1"/>
      <protection hidden="1"/>
    </xf>
    <xf numFmtId="0" fontId="15" fillId="17" borderId="9" xfId="0" applyFont="1" applyFill="1" applyBorder="1" applyAlignment="1" applyProtection="1">
      <alignment horizontal="left" vertical="top" wrapText="1"/>
      <protection hidden="1"/>
    </xf>
    <xf numFmtId="0" fontId="15" fillId="17" borderId="8" xfId="0" applyFont="1" applyFill="1" applyBorder="1" applyAlignment="1" applyProtection="1">
      <alignment horizontal="left" vertical="top" wrapText="1"/>
      <protection hidden="1"/>
    </xf>
    <xf numFmtId="0" fontId="15" fillId="0" borderId="0" xfId="0" applyFont="1" applyAlignment="1" applyProtection="1">
      <protection hidden="1"/>
    </xf>
    <xf numFmtId="0" fontId="15" fillId="23" borderId="23" xfId="0" applyFont="1" applyFill="1" applyBorder="1" applyAlignment="1" applyProtection="1">
      <alignment horizontal="center"/>
      <protection locked="0" hidden="1"/>
    </xf>
    <xf numFmtId="0" fontId="19" fillId="0" borderId="2" xfId="0" applyFont="1" applyBorder="1" applyAlignment="1" applyProtection="1">
      <alignment horizontal="left" vertical="top" wrapText="1"/>
      <protection hidden="1"/>
    </xf>
    <xf numFmtId="0" fontId="19" fillId="0" borderId="12"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9" fillId="0" borderId="11" xfId="0" applyFont="1" applyBorder="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19" fillId="0" borderId="13" xfId="0" applyFont="1" applyBorder="1" applyAlignment="1" applyProtection="1">
      <alignment horizontal="left" vertical="top" wrapText="1"/>
      <protection hidden="1"/>
    </xf>
    <xf numFmtId="0" fontId="19" fillId="0" borderId="4" xfId="0" applyFont="1" applyBorder="1" applyAlignment="1" applyProtection="1">
      <alignment horizontal="left" vertical="top" wrapText="1"/>
      <protection hidden="1"/>
    </xf>
    <xf numFmtId="0" fontId="19" fillId="0" borderId="14" xfId="0" applyFont="1" applyBorder="1" applyAlignment="1" applyProtection="1">
      <alignment horizontal="left" vertical="top" wrapText="1"/>
      <protection hidden="1"/>
    </xf>
    <xf numFmtId="0" fontId="19" fillId="0" borderId="5" xfId="0" applyFont="1" applyBorder="1" applyAlignment="1" applyProtection="1">
      <alignment horizontal="left" vertical="top" wrapText="1"/>
      <protection hidden="1"/>
    </xf>
    <xf numFmtId="0" fontId="15" fillId="17" borderId="1" xfId="0" applyFont="1" applyFill="1" applyBorder="1" applyAlignment="1" applyProtection="1">
      <alignment horizontal="left" vertical="center" wrapText="1"/>
      <protection hidden="1"/>
    </xf>
    <xf numFmtId="0" fontId="15" fillId="17" borderId="1" xfId="0" applyFont="1" applyFill="1" applyBorder="1" applyAlignment="1" applyProtection="1">
      <alignment horizontal="left" vertical="center"/>
      <protection hidden="1"/>
    </xf>
    <xf numFmtId="0" fontId="17" fillId="17" borderId="9" xfId="0" applyFont="1" applyFill="1" applyBorder="1" applyAlignment="1" applyProtection="1">
      <alignment horizontal="left" vertical="top"/>
      <protection hidden="1"/>
    </xf>
    <xf numFmtId="0" fontId="17" fillId="17" borderId="8" xfId="0" applyFont="1" applyFill="1" applyBorder="1" applyAlignment="1" applyProtection="1">
      <alignment horizontal="left" vertical="top"/>
      <protection hidden="1"/>
    </xf>
    <xf numFmtId="0" fontId="15" fillId="17" borderId="7" xfId="0" applyFont="1" applyFill="1" applyBorder="1" applyAlignment="1" applyProtection="1">
      <alignment horizontal="center" vertical="center" wrapText="1"/>
      <protection hidden="1"/>
    </xf>
    <xf numFmtId="0" fontId="15" fillId="23" borderId="6" xfId="0" applyFont="1" applyFill="1" applyBorder="1" applyAlignment="1" applyProtection="1">
      <alignment horizontal="left"/>
      <protection hidden="1"/>
    </xf>
    <xf numFmtId="0" fontId="15" fillId="23" borderId="23" xfId="0" applyFont="1" applyFill="1" applyBorder="1" applyAlignment="1" applyProtection="1">
      <alignment horizontal="left"/>
      <protection hidden="1"/>
    </xf>
    <xf numFmtId="0" fontId="15" fillId="23" borderId="7" xfId="0" applyFont="1" applyFill="1" applyBorder="1" applyAlignment="1" applyProtection="1">
      <alignment horizontal="left"/>
      <protection hidden="1"/>
    </xf>
    <xf numFmtId="0" fontId="15" fillId="23" borderId="6" xfId="0" applyFont="1" applyFill="1" applyBorder="1" applyAlignment="1" applyProtection="1">
      <alignment horizontal="left" vertical="top"/>
      <protection locked="0" hidden="1"/>
    </xf>
    <xf numFmtId="0" fontId="15" fillId="23" borderId="23" xfId="0" applyFont="1" applyFill="1" applyBorder="1" applyAlignment="1" applyProtection="1">
      <alignment horizontal="left" vertical="top"/>
      <protection locked="0" hidden="1"/>
    </xf>
    <xf numFmtId="0" fontId="15" fillId="23" borderId="7" xfId="0" applyFont="1" applyFill="1" applyBorder="1" applyAlignment="1" applyProtection="1">
      <alignment horizontal="left" vertical="top"/>
      <protection locked="0" hidden="1"/>
    </xf>
    <xf numFmtId="0" fontId="15" fillId="0" borderId="4" xfId="0" applyFont="1" applyBorder="1" applyAlignment="1" applyProtection="1">
      <alignment horizontal="center"/>
      <protection hidden="1"/>
    </xf>
    <xf numFmtId="0" fontId="15" fillId="0" borderId="5" xfId="0" applyFont="1" applyBorder="1" applyAlignment="1" applyProtection="1">
      <alignment horizontal="center"/>
      <protection hidden="1"/>
    </xf>
    <xf numFmtId="9" fontId="18" fillId="0" borderId="9" xfId="0" applyNumberFormat="1" applyFont="1" applyBorder="1" applyAlignment="1" applyProtection="1">
      <alignment horizontal="center" vertical="center"/>
      <protection hidden="1"/>
    </xf>
    <xf numFmtId="9" fontId="18" fillId="0" borderId="8" xfId="0" applyNumberFormat="1" applyFont="1" applyBorder="1" applyAlignment="1" applyProtection="1">
      <alignment horizontal="center" vertical="center"/>
      <protection hidden="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35" fillId="0" borderId="9" xfId="0" applyFont="1" applyBorder="1" applyAlignment="1">
      <alignment vertical="center" wrapText="1"/>
    </xf>
    <xf numFmtId="0" fontId="35" fillId="0" borderId="10" xfId="0" applyFont="1" applyBorder="1" applyAlignment="1">
      <alignment vertical="center" wrapText="1"/>
    </xf>
    <xf numFmtId="0" fontId="35" fillId="0" borderId="8" xfId="0" applyFont="1" applyBorder="1" applyAlignment="1">
      <alignment vertical="center" wrapText="1"/>
    </xf>
    <xf numFmtId="0" fontId="8" fillId="5" borderId="1" xfId="0" applyFont="1" applyFill="1" applyBorder="1" applyAlignment="1">
      <alignment horizontal="center"/>
    </xf>
    <xf numFmtId="1" fontId="22" fillId="0" borderId="72" xfId="1" applyNumberFormat="1" applyFont="1" applyBorder="1" applyAlignment="1">
      <alignment horizontal="center" vertical="center" wrapText="1"/>
    </xf>
    <xf numFmtId="0" fontId="8" fillId="0" borderId="59" xfId="0" applyFont="1" applyBorder="1" applyAlignment="1">
      <alignment horizontal="center" vertical="center" wrapText="1"/>
    </xf>
    <xf numFmtId="1" fontId="22" fillId="0" borderId="73" xfId="1" applyNumberFormat="1" applyFont="1" applyBorder="1" applyAlignment="1">
      <alignment horizontal="center" vertical="center" wrapText="1"/>
    </xf>
    <xf numFmtId="0" fontId="9" fillId="23" borderId="1" xfId="0" applyFont="1" applyFill="1" applyBorder="1" applyAlignment="1">
      <alignment horizontal="center"/>
    </xf>
    <xf numFmtId="0" fontId="8" fillId="2" borderId="9"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18" borderId="6" xfId="0" applyFont="1" applyFill="1" applyBorder="1" applyAlignment="1">
      <alignment horizontal="left" vertical="top" wrapText="1"/>
    </xf>
    <xf numFmtId="0" fontId="8" fillId="18" borderId="7" xfId="0" applyFont="1" applyFill="1" applyBorder="1" applyAlignment="1">
      <alignment horizontal="left" vertical="top" wrapText="1"/>
    </xf>
    <xf numFmtId="0" fontId="23" fillId="0" borderId="2" xfId="0" applyFont="1" applyBorder="1" applyAlignment="1" applyProtection="1">
      <alignment horizontal="left" vertical="top" wrapText="1"/>
      <protection hidden="1"/>
    </xf>
  </cellXfs>
  <cellStyles count="7">
    <cellStyle name="Comma 2" xfId="2" xr:uid="{7D26DBCF-D9D1-4DD2-9C39-AB921AD87FF7}"/>
    <cellStyle name="Input 2" xfId="3" xr:uid="{59559CC7-847C-4A67-A644-856213306CF5}"/>
    <cellStyle name="Merknad 2" xfId="4" xr:uid="{6AAD4D84-D1AB-4BAB-9BBA-8811DF6D621F}"/>
    <cellStyle name="Normal" xfId="0" builtinId="0"/>
    <cellStyle name="Normal 2" xfId="1" xr:uid="{778A0AE9-8800-4150-8E21-C7CB9C2D3E50}"/>
    <cellStyle name="Prosent 2" xfId="5" xr:uid="{2FBFAE3D-7322-4CCC-8626-6BA9FB046E9D}"/>
    <cellStyle name="Tusenskille 2" xfId="6" xr:uid="{C945040B-566E-4F43-B842-C743A310C00D}"/>
  </cellStyles>
  <dxfs count="188">
    <dxf>
      <fill>
        <patternFill>
          <bgColor theme="0"/>
        </patternFill>
      </fill>
    </dxf>
    <dxf>
      <font>
        <color theme="0"/>
      </font>
      <fill>
        <patternFill>
          <bgColor theme="0"/>
        </patternFill>
      </fill>
      <border>
        <left/>
        <right/>
        <top/>
        <bottom/>
        <vertical/>
        <horizontal/>
      </border>
    </dxf>
    <dxf>
      <border>
        <right style="thin">
          <color auto="1"/>
        </right>
        <vertical/>
        <horizontal/>
      </border>
    </dxf>
    <dxf>
      <font>
        <color theme="0"/>
      </font>
    </dxf>
    <dxf>
      <font>
        <color theme="0"/>
      </font>
    </dxf>
    <dxf>
      <font>
        <color theme="0"/>
      </font>
    </dxf>
    <dxf>
      <font>
        <color theme="0"/>
      </font>
    </dxf>
    <dxf>
      <fill>
        <patternFill>
          <bgColor theme="0"/>
        </patternFill>
      </fill>
    </dxf>
    <dxf>
      <fill>
        <patternFill>
          <bgColor theme="0"/>
        </patternFill>
      </fill>
    </dxf>
    <dxf>
      <font>
        <color theme="0"/>
      </font>
      <fill>
        <patternFill>
          <bgColor theme="0"/>
        </patternFill>
      </fill>
    </dxf>
    <dxf>
      <font>
        <color theme="0"/>
      </font>
    </dxf>
    <dxf>
      <border>
        <left/>
        <right/>
        <top/>
        <bottom/>
        <vertical/>
        <horizontal/>
      </border>
    </dxf>
    <dxf>
      <fill>
        <patternFill>
          <bgColor theme="9" tint="0.79998168889431442"/>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ill>
        <patternFill>
          <bgColor rgb="FFC7F6C9"/>
        </patternFill>
      </fill>
    </dxf>
    <dxf>
      <font>
        <color rgb="FFFF0000"/>
      </font>
    </dxf>
    <dxf>
      <fill>
        <patternFill>
          <bgColor rgb="FFE1FBFF"/>
        </patternFill>
      </fill>
    </dxf>
    <dxf>
      <font>
        <color rgb="FFFF0000"/>
      </font>
    </dxf>
    <dxf>
      <fill>
        <patternFill>
          <bgColor theme="4" tint="0.79998168889431442"/>
        </patternFill>
      </fill>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border>
        <right style="thin">
          <color auto="1"/>
        </right>
        <vertical/>
        <horizontal/>
      </border>
    </dxf>
    <dxf>
      <font>
        <color theme="0"/>
      </font>
    </dxf>
    <dxf>
      <font>
        <color theme="0"/>
      </font>
    </dxf>
    <dxf>
      <font>
        <color theme="0"/>
      </font>
    </dxf>
    <dxf>
      <font>
        <color theme="0"/>
      </font>
    </dxf>
    <dxf>
      <fill>
        <patternFill>
          <bgColor theme="0"/>
        </patternFill>
      </fill>
    </dxf>
    <dxf>
      <fill>
        <patternFill>
          <bgColor theme="0"/>
        </patternFill>
      </fill>
    </dxf>
    <dxf>
      <font>
        <color theme="0"/>
      </font>
      <fill>
        <patternFill>
          <bgColor theme="0"/>
        </patternFill>
      </fill>
    </dxf>
    <dxf>
      <font>
        <color theme="0"/>
      </font>
    </dxf>
    <dxf>
      <border>
        <left/>
        <right/>
        <top/>
        <bottom/>
        <vertical/>
        <horizontal/>
      </border>
    </dxf>
    <dxf>
      <fill>
        <patternFill>
          <bgColor theme="9" tint="0.79998168889431442"/>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ill>
        <patternFill>
          <bgColor rgb="FFC7F6C9"/>
        </patternFill>
      </fill>
    </dxf>
    <dxf>
      <font>
        <color rgb="FFFF0000"/>
      </font>
    </dxf>
    <dxf>
      <fill>
        <patternFill>
          <bgColor rgb="FFE1FBFF"/>
        </patternFill>
      </fill>
    </dxf>
    <dxf>
      <font>
        <color rgb="FFFF0000"/>
      </font>
    </dxf>
    <dxf>
      <fill>
        <patternFill>
          <bgColor theme="4" tint="0.79998168889431442"/>
        </patternFill>
      </fill>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border>
        <right style="thin">
          <color auto="1"/>
        </right>
        <vertical/>
        <horizontal/>
      </border>
    </dxf>
    <dxf>
      <font>
        <color theme="0"/>
      </font>
    </dxf>
    <dxf>
      <font>
        <color theme="0"/>
      </font>
    </dxf>
    <dxf>
      <font>
        <color theme="0"/>
      </font>
    </dxf>
    <dxf>
      <font>
        <color theme="0"/>
      </font>
    </dxf>
    <dxf>
      <fill>
        <patternFill>
          <bgColor theme="0"/>
        </patternFill>
      </fill>
    </dxf>
    <dxf>
      <fill>
        <patternFill>
          <bgColor theme="0"/>
        </patternFill>
      </fill>
    </dxf>
    <dxf>
      <font>
        <color theme="0"/>
      </font>
      <fill>
        <patternFill>
          <bgColor theme="0"/>
        </patternFill>
      </fill>
    </dxf>
    <dxf>
      <font>
        <color theme="0"/>
      </font>
    </dxf>
    <dxf>
      <border>
        <left/>
        <right/>
        <top/>
        <bottom/>
        <vertical/>
        <horizontal/>
      </border>
    </dxf>
    <dxf>
      <fill>
        <patternFill>
          <bgColor theme="9" tint="0.79998168889431442"/>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ill>
        <patternFill>
          <bgColor rgb="FFC7F6C9"/>
        </patternFill>
      </fill>
    </dxf>
    <dxf>
      <font>
        <color rgb="FFFF0000"/>
      </font>
    </dxf>
    <dxf>
      <fill>
        <patternFill>
          <bgColor rgb="FFE1FBFF"/>
        </patternFill>
      </fill>
    </dxf>
    <dxf>
      <font>
        <color rgb="FFFF0000"/>
      </font>
    </dxf>
    <dxf>
      <fill>
        <patternFill>
          <bgColor theme="4" tint="0.79998168889431442"/>
        </patternFill>
      </fill>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border>
        <right style="thin">
          <color auto="1"/>
        </right>
        <vertical/>
        <horizontal/>
      </border>
    </dxf>
    <dxf>
      <font>
        <color theme="0"/>
      </font>
    </dxf>
    <dxf>
      <font>
        <color theme="0"/>
      </font>
    </dxf>
    <dxf>
      <font>
        <color theme="0"/>
      </font>
    </dxf>
    <dxf>
      <font>
        <color theme="0"/>
      </font>
    </dxf>
    <dxf>
      <fill>
        <patternFill>
          <bgColor theme="0"/>
        </patternFill>
      </fill>
    </dxf>
    <dxf>
      <fill>
        <patternFill>
          <bgColor theme="0"/>
        </patternFill>
      </fill>
    </dxf>
    <dxf>
      <font>
        <color theme="0"/>
      </font>
      <fill>
        <patternFill>
          <bgColor theme="0"/>
        </patternFill>
      </fill>
    </dxf>
    <dxf>
      <font>
        <color theme="0"/>
      </font>
    </dxf>
    <dxf>
      <border>
        <left/>
        <right/>
        <top/>
        <bottom/>
        <vertical/>
        <horizontal/>
      </border>
    </dxf>
    <dxf>
      <fill>
        <patternFill>
          <bgColor theme="9" tint="0.79998168889431442"/>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ill>
        <patternFill>
          <bgColor rgb="FFC7F6C9"/>
        </patternFill>
      </fill>
    </dxf>
    <dxf>
      <font>
        <color rgb="FFFF0000"/>
      </font>
    </dxf>
    <dxf>
      <fill>
        <patternFill>
          <bgColor rgb="FFE1FBFF"/>
        </patternFill>
      </fill>
    </dxf>
    <dxf>
      <font>
        <color rgb="FFFF0000"/>
      </font>
    </dxf>
    <dxf>
      <fill>
        <patternFill>
          <bgColor theme="4" tint="0.79998168889431442"/>
        </patternFill>
      </fill>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border>
        <right style="thin">
          <color auto="1"/>
        </right>
        <vertical/>
        <horizontal/>
      </border>
    </dxf>
    <dxf>
      <font>
        <color theme="0"/>
      </font>
    </dxf>
    <dxf>
      <font>
        <color theme="0"/>
      </font>
    </dxf>
    <dxf>
      <font>
        <color theme="0"/>
      </font>
    </dxf>
    <dxf>
      <font>
        <color theme="0"/>
      </font>
    </dxf>
    <dxf>
      <fill>
        <patternFill>
          <bgColor theme="0"/>
        </patternFill>
      </fill>
    </dxf>
    <dxf>
      <fill>
        <patternFill>
          <bgColor theme="0"/>
        </patternFill>
      </fill>
    </dxf>
    <dxf>
      <font>
        <color theme="0"/>
      </font>
      <fill>
        <patternFill>
          <bgColor theme="0"/>
        </patternFill>
      </fill>
    </dxf>
    <dxf>
      <font>
        <color theme="0"/>
      </font>
    </dxf>
    <dxf>
      <border>
        <left/>
        <right/>
        <top/>
        <bottom/>
        <vertical/>
        <horizontal/>
      </border>
    </dxf>
    <dxf>
      <fill>
        <patternFill>
          <bgColor theme="9" tint="0.79998168889431442"/>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ill>
        <patternFill>
          <bgColor rgb="FFE1FBFF"/>
        </patternFill>
      </fill>
    </dxf>
    <dxf>
      <font>
        <color rgb="FFFF0000"/>
      </font>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ill>
        <patternFill>
          <bgColor rgb="FFC7F6C9"/>
        </patternFill>
      </fill>
    </dxf>
    <dxf>
      <font>
        <color rgb="FFFF0000"/>
      </font>
    </dxf>
    <dxf>
      <fill>
        <patternFill>
          <bgColor rgb="FFE1FBFF"/>
        </patternFill>
      </fill>
    </dxf>
    <dxf>
      <font>
        <color rgb="FFFF0000"/>
      </font>
    </dxf>
    <dxf>
      <fill>
        <patternFill>
          <bgColor theme="4" tint="0.79998168889431442"/>
        </patternFill>
      </fill>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right style="thin">
          <color auto="1"/>
        </right>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C7F6D1"/>
      <color rgb="FFD9D9D9"/>
      <color rgb="FFFDE9C4"/>
      <color rgb="FFE1FBFF"/>
      <color rgb="FF65E76B"/>
      <color rgb="FFFFE7E3"/>
      <color rgb="FFA8F2FF"/>
      <color rgb="FFC7F6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Resultat!$X$14</c:f>
          <c:strCache>
            <c:ptCount val="1"/>
            <c:pt idx="0">
              <c:v>Resultat, tonn CO2 ekv, 50 år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Oslo Sans" panose="02000000000000000000" pitchFamily="2" charset="0"/>
              <a:ea typeface="+mn-ea"/>
              <a:cs typeface="+mn-cs"/>
            </a:defRPr>
          </a:pPr>
          <a:endParaRPr lang="nb-NO"/>
        </a:p>
      </c:txPr>
    </c:title>
    <c:autoTitleDeleted val="0"/>
    <c:plotArea>
      <c:layout/>
      <c:barChart>
        <c:barDir val="col"/>
        <c:grouping val="stacked"/>
        <c:varyColors val="0"/>
        <c:ser>
          <c:idx val="0"/>
          <c:order val="0"/>
          <c:tx>
            <c:strRef>
              <c:f>Resultat!$X$16</c:f>
              <c:strCache>
                <c:ptCount val="1"/>
                <c:pt idx="0">
                  <c:v>Riving (eksisterende bygg)</c:v>
                </c:pt>
              </c:strCache>
            </c:strRef>
          </c:tx>
          <c:spPr>
            <a:solidFill>
              <a:schemeClr val="accent1"/>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Resultat!$Y$16:$AC$16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CF1-471D-B670-0DC72B92C113}"/>
            </c:ext>
          </c:extLst>
        </c:ser>
        <c:ser>
          <c:idx val="1"/>
          <c:order val="1"/>
          <c:tx>
            <c:strRef>
              <c:f>Resultat!$X$17</c:f>
              <c:strCache>
                <c:ptCount val="1"/>
                <c:pt idx="0">
                  <c:v>Materialer (produksjon, transport, utskifting)</c:v>
                </c:pt>
              </c:strCache>
            </c:strRef>
          </c:tx>
          <c:spPr>
            <a:solidFill>
              <a:schemeClr val="accent2"/>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Resultat!$Y$17:$AC$17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CF1-471D-B670-0DC72B92C113}"/>
            </c:ext>
          </c:extLst>
        </c:ser>
        <c:ser>
          <c:idx val="2"/>
          <c:order val="2"/>
          <c:tx>
            <c:strRef>
              <c:f>Resultat!$X$18</c:f>
              <c:strCache>
                <c:ptCount val="1"/>
                <c:pt idx="0">
                  <c:v>Byggeplass (kapp, svinn, avfall, energi og massetransport)</c:v>
                </c:pt>
              </c:strCache>
            </c:strRef>
          </c:tx>
          <c:spPr>
            <a:solidFill>
              <a:schemeClr val="accent3"/>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Resultat!$Y$18:$AC$18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CF1-471D-B670-0DC72B92C113}"/>
            </c:ext>
          </c:extLst>
        </c:ser>
        <c:ser>
          <c:idx val="3"/>
          <c:order val="3"/>
          <c:tx>
            <c:strRef>
              <c:f>Resultat!$X$19</c:f>
              <c:strCache>
                <c:ptCount val="1"/>
                <c:pt idx="0">
                  <c:v>Energibruk i drift</c:v>
                </c:pt>
              </c:strCache>
            </c:strRef>
          </c:tx>
          <c:spPr>
            <a:solidFill>
              <a:schemeClr val="accent4"/>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Resultat!$Y$19:$AC$19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CF1-471D-B670-0DC72B92C113}"/>
            </c:ext>
          </c:extLst>
        </c:ser>
        <c:ser>
          <c:idx val="4"/>
          <c:order val="4"/>
          <c:tx>
            <c:strRef>
              <c:f>Resultat!$X$20</c:f>
              <c:strCache>
                <c:ptCount val="1"/>
                <c:pt idx="0">
                  <c:v>Arealbruksendring (nedbygging og nyetablering)</c:v>
                </c:pt>
              </c:strCache>
            </c:strRef>
          </c:tx>
          <c:spPr>
            <a:solidFill>
              <a:schemeClr val="accent5"/>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Resultat!$Y$20:$AC$20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CF1-471D-B670-0DC72B92C113}"/>
            </c:ext>
          </c:extLst>
        </c:ser>
        <c:ser>
          <c:idx val="5"/>
          <c:order val="5"/>
          <c:tx>
            <c:strRef>
              <c:f>Resultat!$X$21</c:f>
              <c:strCache>
                <c:ptCount val="1"/>
                <c:pt idx="0">
                  <c:v>Riving (bygg i fremtiden)</c:v>
                </c:pt>
              </c:strCache>
            </c:strRef>
          </c:tx>
          <c:spPr>
            <a:solidFill>
              <a:schemeClr val="accent6"/>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Resultat!$Y$21:$AC$21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CF1-471D-B670-0DC72B92C113}"/>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r>
                  <a:rPr lang="nb-NO" sz="1000" b="0" i="0" u="none" strike="noStrike" kern="1200" baseline="0">
                    <a:solidFill>
                      <a:sysClr val="windowText" lastClr="000000">
                        <a:lumMod val="65000"/>
                        <a:lumOff val="35000"/>
                      </a:sysClr>
                    </a:solidFill>
                    <a:latin typeface="Oslo Sans" panose="02000000000000000000" pitchFamily="2" charset="0"/>
                  </a:rPr>
                  <a:t>tonn CO2-ekv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crossAx val="379910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Resultat!$X$25</c:f>
          <c:strCache>
            <c:ptCount val="1"/>
            <c:pt idx="0">
              <c:v>Resultat, kg CO2 ekv, 50 år, pr m2 oppvarmet BRA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Oslo Sans" panose="02000000000000000000" pitchFamily="2" charset="0"/>
              <a:ea typeface="+mn-ea"/>
              <a:cs typeface="+mn-cs"/>
            </a:defRPr>
          </a:pPr>
          <a:endParaRPr lang="nb-NO"/>
        </a:p>
      </c:txPr>
    </c:title>
    <c:autoTitleDeleted val="0"/>
    <c:plotArea>
      <c:layout/>
      <c:barChart>
        <c:barDir val="col"/>
        <c:grouping val="stacked"/>
        <c:varyColors val="0"/>
        <c:ser>
          <c:idx val="0"/>
          <c:order val="0"/>
          <c:tx>
            <c:strRef>
              <c:f>Resultat!$X$27</c:f>
              <c:strCache>
                <c:ptCount val="1"/>
                <c:pt idx="0">
                  <c:v>Riving (eksisterende bygg)</c:v>
                </c:pt>
              </c:strCache>
            </c:strRef>
          </c:tx>
          <c:spPr>
            <a:solidFill>
              <a:schemeClr val="accent1"/>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Resultat!$Y$27:$AC$27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9F5-4D90-9CE6-484C78D95CEF}"/>
            </c:ext>
          </c:extLst>
        </c:ser>
        <c:ser>
          <c:idx val="1"/>
          <c:order val="1"/>
          <c:tx>
            <c:strRef>
              <c:f>Resultat!$X$28</c:f>
              <c:strCache>
                <c:ptCount val="1"/>
                <c:pt idx="0">
                  <c:v>Materialer (produksjon, transport, utskifting)</c:v>
                </c:pt>
              </c:strCache>
            </c:strRef>
          </c:tx>
          <c:spPr>
            <a:solidFill>
              <a:schemeClr val="accent2"/>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Resultat!$Y$28:$AC$28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9F5-4D90-9CE6-484C78D95CEF}"/>
            </c:ext>
          </c:extLst>
        </c:ser>
        <c:ser>
          <c:idx val="2"/>
          <c:order val="2"/>
          <c:tx>
            <c:strRef>
              <c:f>Resultat!$X$29</c:f>
              <c:strCache>
                <c:ptCount val="1"/>
                <c:pt idx="0">
                  <c:v>Byggeplass (kapp, svinn, avfall, energi og massetransport)</c:v>
                </c:pt>
              </c:strCache>
            </c:strRef>
          </c:tx>
          <c:spPr>
            <a:solidFill>
              <a:schemeClr val="accent3"/>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Resultat!$Y$29:$AC$29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9F5-4D90-9CE6-484C78D95CEF}"/>
            </c:ext>
          </c:extLst>
        </c:ser>
        <c:ser>
          <c:idx val="3"/>
          <c:order val="3"/>
          <c:tx>
            <c:strRef>
              <c:f>Resultat!$X$30</c:f>
              <c:strCache>
                <c:ptCount val="1"/>
                <c:pt idx="0">
                  <c:v>Energibruk i drift</c:v>
                </c:pt>
              </c:strCache>
            </c:strRef>
          </c:tx>
          <c:spPr>
            <a:solidFill>
              <a:schemeClr val="accent4"/>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Resultat!$Y$30:$AC$30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9F5-4D90-9CE6-484C78D95CEF}"/>
            </c:ext>
          </c:extLst>
        </c:ser>
        <c:ser>
          <c:idx val="4"/>
          <c:order val="4"/>
          <c:tx>
            <c:strRef>
              <c:f>Resultat!$X$31</c:f>
              <c:strCache>
                <c:ptCount val="1"/>
                <c:pt idx="0">
                  <c:v>Arealbruksendring (nedbygging og nyetablering)</c:v>
                </c:pt>
              </c:strCache>
            </c:strRef>
          </c:tx>
          <c:spPr>
            <a:solidFill>
              <a:schemeClr val="accent5"/>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Resultat!$Y$31:$AC$31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9F5-4D90-9CE6-484C78D95CEF}"/>
            </c:ext>
          </c:extLst>
        </c:ser>
        <c:ser>
          <c:idx val="5"/>
          <c:order val="5"/>
          <c:tx>
            <c:strRef>
              <c:f>Resultat!$X$32</c:f>
              <c:strCache>
                <c:ptCount val="1"/>
                <c:pt idx="0">
                  <c:v>Riving (bygg i fremtiden)</c:v>
                </c:pt>
              </c:strCache>
            </c:strRef>
          </c:tx>
          <c:spPr>
            <a:solidFill>
              <a:schemeClr val="accent6"/>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Resultat!$Y$32:$AC$32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9F5-4D90-9CE6-484C78D95CEF}"/>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r>
                  <a:rPr lang="nb-NO" sz="1000" b="0" i="0" u="none" strike="noStrike" kern="1200" baseline="0">
                    <a:solidFill>
                      <a:sysClr val="windowText" lastClr="000000">
                        <a:lumMod val="65000"/>
                        <a:lumOff val="35000"/>
                      </a:sysClr>
                    </a:solidFill>
                  </a:rPr>
                  <a:t>kg CO2 ekv/m2 oppvarmet BRA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crossAx val="379910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Resultat!$X$42</c:f>
          <c:strCache>
            <c:ptCount val="1"/>
            <c:pt idx="0">
              <c:v>Resultat, tonn CO2 ekv, 50 år, pr bruker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Oslo Sans" panose="02000000000000000000" pitchFamily="2" charset="0"/>
              <a:ea typeface="+mn-ea"/>
              <a:cs typeface="+mn-cs"/>
            </a:defRPr>
          </a:pPr>
          <a:endParaRPr lang="nb-NO"/>
        </a:p>
      </c:txPr>
    </c:title>
    <c:autoTitleDeleted val="0"/>
    <c:plotArea>
      <c:layout/>
      <c:barChart>
        <c:barDir val="col"/>
        <c:grouping val="stacked"/>
        <c:varyColors val="0"/>
        <c:ser>
          <c:idx val="0"/>
          <c:order val="0"/>
          <c:tx>
            <c:strRef>
              <c:f>Resultat!$X$44</c:f>
              <c:strCache>
                <c:ptCount val="1"/>
                <c:pt idx="0">
                  <c:v>Riving (eksisterende bygg)</c:v>
                </c:pt>
              </c:strCache>
            </c:strRef>
          </c:tx>
          <c:spPr>
            <a:solidFill>
              <a:schemeClr val="accent1"/>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Resultat!$Y$44:$AC$44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9C5-4E4F-B665-41741A334B66}"/>
            </c:ext>
          </c:extLst>
        </c:ser>
        <c:ser>
          <c:idx val="1"/>
          <c:order val="1"/>
          <c:tx>
            <c:strRef>
              <c:f>Resultat!$X$45</c:f>
              <c:strCache>
                <c:ptCount val="1"/>
                <c:pt idx="0">
                  <c:v>Materialer (produksjon, transport, utskifting)</c:v>
                </c:pt>
              </c:strCache>
            </c:strRef>
          </c:tx>
          <c:spPr>
            <a:solidFill>
              <a:schemeClr val="accent2"/>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Resultat!$Y$45:$AC$45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79C5-4E4F-B665-41741A334B66}"/>
            </c:ext>
          </c:extLst>
        </c:ser>
        <c:ser>
          <c:idx val="2"/>
          <c:order val="2"/>
          <c:tx>
            <c:strRef>
              <c:f>Resultat!$X$46</c:f>
              <c:strCache>
                <c:ptCount val="1"/>
                <c:pt idx="0">
                  <c:v>Byggeplass (kapp, svinn, avfall, energi og massetransport)</c:v>
                </c:pt>
              </c:strCache>
            </c:strRef>
          </c:tx>
          <c:spPr>
            <a:solidFill>
              <a:schemeClr val="accent3"/>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Resultat!$Y$46:$AC$46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79C5-4E4F-B665-41741A334B66}"/>
            </c:ext>
          </c:extLst>
        </c:ser>
        <c:ser>
          <c:idx val="3"/>
          <c:order val="3"/>
          <c:tx>
            <c:strRef>
              <c:f>Resultat!$X$47</c:f>
              <c:strCache>
                <c:ptCount val="1"/>
                <c:pt idx="0">
                  <c:v>Energibruk i drift</c:v>
                </c:pt>
              </c:strCache>
            </c:strRef>
          </c:tx>
          <c:spPr>
            <a:solidFill>
              <a:schemeClr val="accent4"/>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Resultat!$Y$47:$AC$47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79C5-4E4F-B665-41741A334B66}"/>
            </c:ext>
          </c:extLst>
        </c:ser>
        <c:ser>
          <c:idx val="4"/>
          <c:order val="4"/>
          <c:tx>
            <c:strRef>
              <c:f>Resultat!$X$48</c:f>
              <c:strCache>
                <c:ptCount val="1"/>
                <c:pt idx="0">
                  <c:v>Arealbruksendring (nedbygging og nyetablering)</c:v>
                </c:pt>
              </c:strCache>
            </c:strRef>
          </c:tx>
          <c:spPr>
            <a:solidFill>
              <a:schemeClr val="accent5"/>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Resultat!$Y$48:$AC$48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79C5-4E4F-B665-41741A334B66}"/>
            </c:ext>
          </c:extLst>
        </c:ser>
        <c:ser>
          <c:idx val="5"/>
          <c:order val="5"/>
          <c:tx>
            <c:strRef>
              <c:f>Resultat!$X$49</c:f>
              <c:strCache>
                <c:ptCount val="1"/>
                <c:pt idx="0">
                  <c:v>Riving (bygg i fremtiden)</c:v>
                </c:pt>
              </c:strCache>
            </c:strRef>
          </c:tx>
          <c:spPr>
            <a:solidFill>
              <a:schemeClr val="accent6"/>
            </a:solidFill>
            <a:ln>
              <a:no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Resultat!$Y$49:$AC$49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5-79C5-4E4F-B665-41741A334B66}"/>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r>
                  <a:rPr lang="nb-NO" sz="1000" b="0" i="0" u="none" strike="noStrike" kern="1200" baseline="0">
                    <a:solidFill>
                      <a:sysClr val="windowText" lastClr="000000">
                        <a:lumMod val="65000"/>
                        <a:lumOff val="35000"/>
                      </a:sysClr>
                    </a:solidFill>
                  </a:rPr>
                  <a:t>tonn CO2 ekv/bruker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crossAx val="379910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493047</xdr:colOff>
      <xdr:row>10</xdr:row>
      <xdr:rowOff>140073</xdr:rowOff>
    </xdr:from>
    <xdr:to>
      <xdr:col>17</xdr:col>
      <xdr:colOff>245292</xdr:colOff>
      <xdr:row>11</xdr:row>
      <xdr:rowOff>605118</xdr:rowOff>
    </xdr:to>
    <xdr:pic>
      <xdr:nvPicPr>
        <xdr:cNvPr id="4" name="Picture 3">
          <a:extLst>
            <a:ext uri="{FF2B5EF4-FFF2-40B4-BE49-F238E27FC236}">
              <a16:creationId xmlns:a16="http://schemas.microsoft.com/office/drawing/2014/main" id="{7BC4CE44-BBA6-9EC5-5650-AF1ECFF7BD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40341" y="2459691"/>
          <a:ext cx="1567598" cy="689162"/>
        </a:xfrm>
        <a:prstGeom prst="rect">
          <a:avLst/>
        </a:prstGeom>
      </xdr:spPr>
    </xdr:pic>
    <xdr:clientData/>
  </xdr:twoCellAnchor>
  <xdr:twoCellAnchor editAs="oneCell">
    <xdr:from>
      <xdr:col>14</xdr:col>
      <xdr:colOff>123266</xdr:colOff>
      <xdr:row>0</xdr:row>
      <xdr:rowOff>11206</xdr:rowOff>
    </xdr:from>
    <xdr:to>
      <xdr:col>18</xdr:col>
      <xdr:colOff>280147</xdr:colOff>
      <xdr:row>7</xdr:row>
      <xdr:rowOff>84168</xdr:rowOff>
    </xdr:to>
    <xdr:pic>
      <xdr:nvPicPr>
        <xdr:cNvPr id="2" name="Picture 1">
          <a:extLst>
            <a:ext uri="{FF2B5EF4-FFF2-40B4-BE49-F238E27FC236}">
              <a16:creationId xmlns:a16="http://schemas.microsoft.com/office/drawing/2014/main" id="{34BCBC88-A0CB-413D-B207-3AD245A10F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0560" y="11206"/>
          <a:ext cx="2577352" cy="1720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44825</xdr:colOff>
      <xdr:row>1</xdr:row>
      <xdr:rowOff>11205</xdr:rowOff>
    </xdr:from>
    <xdr:to>
      <xdr:col>12</xdr:col>
      <xdr:colOff>953254</xdr:colOff>
      <xdr:row>4</xdr:row>
      <xdr:rowOff>494430</xdr:rowOff>
    </xdr:to>
    <xdr:pic>
      <xdr:nvPicPr>
        <xdr:cNvPr id="6" name="Picture 5">
          <a:extLst>
            <a:ext uri="{FF2B5EF4-FFF2-40B4-BE49-F238E27FC236}">
              <a16:creationId xmlns:a16="http://schemas.microsoft.com/office/drawing/2014/main" id="{5A137126-135A-4676-98E8-33B62C1E2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1384" y="235323"/>
          <a:ext cx="1946766" cy="1299349"/>
        </a:xfrm>
        <a:prstGeom prst="rect">
          <a:avLst/>
        </a:prstGeom>
      </xdr:spPr>
    </xdr:pic>
    <xdr:clientData/>
  </xdr:twoCellAnchor>
  <xdr:twoCellAnchor>
    <xdr:from>
      <xdr:col>2</xdr:col>
      <xdr:colOff>0</xdr:colOff>
      <xdr:row>43</xdr:row>
      <xdr:rowOff>147356</xdr:rowOff>
    </xdr:from>
    <xdr:to>
      <xdr:col>3</xdr:col>
      <xdr:colOff>649941</xdr:colOff>
      <xdr:row>65</xdr:row>
      <xdr:rowOff>112058</xdr:rowOff>
    </xdr:to>
    <xdr:graphicFrame macro="">
      <xdr:nvGraphicFramePr>
        <xdr:cNvPr id="2" name="Chart 7">
          <a:extLst>
            <a:ext uri="{FF2B5EF4-FFF2-40B4-BE49-F238E27FC236}">
              <a16:creationId xmlns:a16="http://schemas.microsoft.com/office/drawing/2014/main" id="{D2AA693E-CB11-4EC3-BB7C-A6C5B7CD4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56030</xdr:colOff>
      <xdr:row>43</xdr:row>
      <xdr:rowOff>145676</xdr:rowOff>
    </xdr:from>
    <xdr:to>
      <xdr:col>8</xdr:col>
      <xdr:colOff>593912</xdr:colOff>
      <xdr:row>65</xdr:row>
      <xdr:rowOff>110378</xdr:rowOff>
    </xdr:to>
    <xdr:graphicFrame macro="">
      <xdr:nvGraphicFramePr>
        <xdr:cNvPr id="3" name="Chart 8">
          <a:extLst>
            <a:ext uri="{FF2B5EF4-FFF2-40B4-BE49-F238E27FC236}">
              <a16:creationId xmlns:a16="http://schemas.microsoft.com/office/drawing/2014/main" id="{31E3B185-989D-4263-B292-F77068814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907676</xdr:colOff>
      <xdr:row>43</xdr:row>
      <xdr:rowOff>145677</xdr:rowOff>
    </xdr:from>
    <xdr:to>
      <xdr:col>13</xdr:col>
      <xdr:colOff>44821</xdr:colOff>
      <xdr:row>65</xdr:row>
      <xdr:rowOff>110379</xdr:rowOff>
    </xdr:to>
    <xdr:graphicFrame macro="">
      <xdr:nvGraphicFramePr>
        <xdr:cNvPr id="4" name="Chart 9">
          <a:extLst>
            <a:ext uri="{FF2B5EF4-FFF2-40B4-BE49-F238E27FC236}">
              <a16:creationId xmlns:a16="http://schemas.microsoft.com/office/drawing/2014/main" id="{907BDD36-12B2-41B2-A4BA-65DBDB3A6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2762250</xdr:colOff>
      <xdr:row>1</xdr:row>
      <xdr:rowOff>54429</xdr:rowOff>
    </xdr:from>
    <xdr:to>
      <xdr:col>3</xdr:col>
      <xdr:colOff>4715547</xdr:colOff>
      <xdr:row>6</xdr:row>
      <xdr:rowOff>48581</xdr:rowOff>
    </xdr:to>
    <xdr:pic>
      <xdr:nvPicPr>
        <xdr:cNvPr id="3" name="Picture 2">
          <a:extLst>
            <a:ext uri="{FF2B5EF4-FFF2-40B4-BE49-F238E27FC236}">
              <a16:creationId xmlns:a16="http://schemas.microsoft.com/office/drawing/2014/main" id="{E7FAD4A6-FBB9-4C23-AA21-26618C673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5393" y="272143"/>
          <a:ext cx="1949487" cy="12966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398319</xdr:colOff>
      <xdr:row>0</xdr:row>
      <xdr:rowOff>69273</xdr:rowOff>
    </xdr:from>
    <xdr:to>
      <xdr:col>15</xdr:col>
      <xdr:colOff>106641</xdr:colOff>
      <xdr:row>5</xdr:row>
      <xdr:rowOff>135975</xdr:rowOff>
    </xdr:to>
    <xdr:pic>
      <xdr:nvPicPr>
        <xdr:cNvPr id="4" name="Picture 3">
          <a:extLst>
            <a:ext uri="{FF2B5EF4-FFF2-40B4-BE49-F238E27FC236}">
              <a16:creationId xmlns:a16="http://schemas.microsoft.com/office/drawing/2014/main" id="{160664C7-3B13-A996-187E-F74F674069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63455" y="69273"/>
          <a:ext cx="1956954" cy="13288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398319</xdr:colOff>
      <xdr:row>0</xdr:row>
      <xdr:rowOff>69273</xdr:rowOff>
    </xdr:from>
    <xdr:to>
      <xdr:col>15</xdr:col>
      <xdr:colOff>4094</xdr:colOff>
      <xdr:row>6</xdr:row>
      <xdr:rowOff>48889</xdr:rowOff>
    </xdr:to>
    <xdr:pic>
      <xdr:nvPicPr>
        <xdr:cNvPr id="2" name="Picture 1">
          <a:extLst>
            <a:ext uri="{FF2B5EF4-FFF2-40B4-BE49-F238E27FC236}">
              <a16:creationId xmlns:a16="http://schemas.microsoft.com/office/drawing/2014/main" id="{59F847E4-31C9-4AD2-A615-8C670C91A4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7469" y="69273"/>
          <a:ext cx="1943963" cy="12859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398319</xdr:colOff>
      <xdr:row>0</xdr:row>
      <xdr:rowOff>69273</xdr:rowOff>
    </xdr:from>
    <xdr:to>
      <xdr:col>15</xdr:col>
      <xdr:colOff>4094</xdr:colOff>
      <xdr:row>6</xdr:row>
      <xdr:rowOff>46984</xdr:rowOff>
    </xdr:to>
    <xdr:pic>
      <xdr:nvPicPr>
        <xdr:cNvPr id="2" name="Picture 1">
          <a:extLst>
            <a:ext uri="{FF2B5EF4-FFF2-40B4-BE49-F238E27FC236}">
              <a16:creationId xmlns:a16="http://schemas.microsoft.com/office/drawing/2014/main" id="{229DA111-6B6A-41E5-B543-FE6C947532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7469" y="69273"/>
          <a:ext cx="1943963" cy="12859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398319</xdr:colOff>
      <xdr:row>0</xdr:row>
      <xdr:rowOff>69273</xdr:rowOff>
    </xdr:from>
    <xdr:to>
      <xdr:col>15</xdr:col>
      <xdr:colOff>4094</xdr:colOff>
      <xdr:row>6</xdr:row>
      <xdr:rowOff>46984</xdr:rowOff>
    </xdr:to>
    <xdr:pic>
      <xdr:nvPicPr>
        <xdr:cNvPr id="2" name="Picture 1">
          <a:extLst>
            <a:ext uri="{FF2B5EF4-FFF2-40B4-BE49-F238E27FC236}">
              <a16:creationId xmlns:a16="http://schemas.microsoft.com/office/drawing/2014/main" id="{F04B27D5-0629-48DE-BE40-0CF88C7304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7469" y="69273"/>
          <a:ext cx="1943963" cy="1285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398319</xdr:colOff>
      <xdr:row>0</xdr:row>
      <xdr:rowOff>69273</xdr:rowOff>
    </xdr:from>
    <xdr:to>
      <xdr:col>15</xdr:col>
      <xdr:colOff>4094</xdr:colOff>
      <xdr:row>6</xdr:row>
      <xdr:rowOff>46984</xdr:rowOff>
    </xdr:to>
    <xdr:pic>
      <xdr:nvPicPr>
        <xdr:cNvPr id="2" name="Picture 1">
          <a:extLst>
            <a:ext uri="{FF2B5EF4-FFF2-40B4-BE49-F238E27FC236}">
              <a16:creationId xmlns:a16="http://schemas.microsoft.com/office/drawing/2014/main" id="{23707125-FB2A-4D98-8BDC-03C5464C3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7469" y="69273"/>
          <a:ext cx="1943963" cy="1285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1660071</xdr:colOff>
      <xdr:row>0</xdr:row>
      <xdr:rowOff>68035</xdr:rowOff>
    </xdr:from>
    <xdr:to>
      <xdr:col>7</xdr:col>
      <xdr:colOff>1293622</xdr:colOff>
      <xdr:row>12</xdr:row>
      <xdr:rowOff>131855</xdr:rowOff>
    </xdr:to>
    <xdr:pic>
      <xdr:nvPicPr>
        <xdr:cNvPr id="2" name="Picture 1">
          <a:extLst>
            <a:ext uri="{FF2B5EF4-FFF2-40B4-BE49-F238E27FC236}">
              <a16:creationId xmlns:a16="http://schemas.microsoft.com/office/drawing/2014/main" id="{9AB89725-35C9-40B6-8164-8355E05043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79035" y="68035"/>
          <a:ext cx="1946766" cy="129934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EE2E-DF19-4B87-A304-E8511404FFE6}">
  <sheetPr codeName="Sheet1">
    <pageSetUpPr fitToPage="1"/>
  </sheetPr>
  <dimension ref="B3:W47"/>
  <sheetViews>
    <sheetView showGridLines="0" tabSelected="1" zoomScale="85" zoomScaleNormal="85" workbookViewId="0">
      <selection activeCell="B3" sqref="B3"/>
    </sheetView>
  </sheetViews>
  <sheetFormatPr baseColWidth="10" defaultColWidth="9.15625" defaultRowHeight="14.4"/>
  <cols>
    <col min="2" max="2" width="39.15625" customWidth="1"/>
    <col min="3" max="3" width="14.578125" customWidth="1"/>
  </cols>
  <sheetData>
    <row r="3" spans="2:23" ht="27">
      <c r="B3" s="1" t="s">
        <v>0</v>
      </c>
      <c r="C3" s="2"/>
      <c r="D3" s="2"/>
      <c r="E3" s="2"/>
      <c r="F3" s="2"/>
      <c r="G3" s="2"/>
      <c r="H3" s="2"/>
      <c r="I3" s="2"/>
      <c r="J3" s="2"/>
      <c r="K3" s="2"/>
      <c r="L3" s="2"/>
      <c r="M3" s="2"/>
      <c r="N3" s="2"/>
      <c r="O3" s="2"/>
      <c r="P3" s="2"/>
      <c r="Q3" s="2"/>
      <c r="R3" s="2"/>
      <c r="S3" s="2"/>
      <c r="T3" s="2"/>
      <c r="U3" s="2"/>
      <c r="V3" s="2"/>
      <c r="W3" s="2"/>
    </row>
    <row r="4" spans="2:23">
      <c r="B4" s="2"/>
      <c r="C4" s="2"/>
      <c r="D4" s="2"/>
      <c r="E4" s="2"/>
      <c r="F4" s="2"/>
      <c r="G4" s="2"/>
      <c r="H4" s="2"/>
      <c r="I4" s="2"/>
      <c r="J4" s="2"/>
      <c r="K4" s="2"/>
      <c r="L4" s="2"/>
      <c r="M4" s="2"/>
      <c r="N4" s="2"/>
      <c r="O4" s="2"/>
      <c r="P4" s="2"/>
      <c r="Q4" s="2"/>
      <c r="R4" s="2"/>
      <c r="S4" s="2"/>
      <c r="T4" s="2"/>
      <c r="U4" s="2"/>
      <c r="V4" s="2"/>
      <c r="W4" s="2"/>
    </row>
    <row r="5" spans="2:23" ht="15" customHeight="1">
      <c r="B5" s="3" t="s">
        <v>1</v>
      </c>
      <c r="C5" s="2">
        <f>Intro!B37</f>
        <v>1</v>
      </c>
      <c r="D5" s="2"/>
      <c r="E5" s="2"/>
      <c r="F5" s="2"/>
      <c r="G5" s="2"/>
      <c r="H5" s="2"/>
      <c r="I5" s="2"/>
      <c r="J5" s="2"/>
      <c r="K5" s="2"/>
      <c r="L5" s="2"/>
      <c r="M5" s="2"/>
      <c r="N5" s="2"/>
      <c r="O5" s="2"/>
      <c r="P5" s="2"/>
      <c r="Q5" s="2"/>
      <c r="R5" s="2"/>
      <c r="S5" s="2"/>
      <c r="T5" s="2"/>
      <c r="U5" s="2"/>
      <c r="V5" s="2"/>
      <c r="W5" s="2"/>
    </row>
    <row r="6" spans="2:23">
      <c r="B6" s="3" t="s">
        <v>2</v>
      </c>
      <c r="C6" s="4">
        <f>Intro!C37</f>
        <v>45632</v>
      </c>
      <c r="D6" s="2"/>
      <c r="E6" s="2"/>
      <c r="F6" s="2"/>
      <c r="G6" s="2"/>
      <c r="H6" s="2"/>
      <c r="I6" s="2"/>
      <c r="J6" s="2"/>
      <c r="K6" s="2"/>
      <c r="L6" s="2"/>
      <c r="M6" s="2"/>
      <c r="N6" s="2"/>
      <c r="O6" s="2"/>
      <c r="P6" s="2"/>
      <c r="Q6" s="2"/>
      <c r="R6" s="2"/>
      <c r="S6" s="2"/>
      <c r="T6" s="2"/>
      <c r="U6" s="2"/>
      <c r="V6" s="2"/>
      <c r="W6" s="2"/>
    </row>
    <row r="7" spans="2:23">
      <c r="B7" s="2"/>
      <c r="C7" s="2"/>
      <c r="D7" s="2"/>
      <c r="E7" s="2"/>
      <c r="F7" s="2"/>
      <c r="G7" s="2"/>
      <c r="H7" s="2"/>
      <c r="I7" s="2"/>
      <c r="J7" s="2"/>
      <c r="K7" s="2"/>
      <c r="L7" s="2"/>
      <c r="M7" s="2"/>
      <c r="N7" s="2"/>
      <c r="O7" s="2"/>
      <c r="P7" s="5" t="s">
        <v>3</v>
      </c>
      <c r="Q7" s="2"/>
      <c r="R7" s="2"/>
      <c r="S7" s="2"/>
      <c r="T7" s="2"/>
      <c r="U7" s="2"/>
      <c r="V7" s="2"/>
      <c r="W7" s="2"/>
    </row>
    <row r="8" spans="2:23">
      <c r="B8" s="2"/>
      <c r="C8" s="2"/>
      <c r="D8" s="2"/>
      <c r="E8" s="2"/>
      <c r="F8" s="2"/>
      <c r="G8" s="2"/>
      <c r="H8" s="2"/>
      <c r="I8" s="2"/>
      <c r="J8" s="2"/>
      <c r="K8" s="2"/>
      <c r="L8" s="2"/>
      <c r="M8" s="2"/>
      <c r="N8" s="2"/>
      <c r="O8" s="2"/>
      <c r="P8" s="2"/>
      <c r="Q8" s="2"/>
      <c r="R8" s="2"/>
      <c r="S8" s="2"/>
      <c r="T8" s="2"/>
      <c r="U8" s="2"/>
      <c r="V8" s="2"/>
      <c r="W8" s="2"/>
    </row>
    <row r="9" spans="2:23">
      <c r="B9" s="5" t="s">
        <v>4</v>
      </c>
      <c r="C9" s="2"/>
      <c r="D9" s="2"/>
      <c r="E9" s="2"/>
      <c r="F9" s="2"/>
      <c r="G9" s="2"/>
      <c r="H9" s="2"/>
      <c r="I9" s="2"/>
      <c r="J9" s="2"/>
      <c r="K9" s="2"/>
      <c r="L9" s="2"/>
      <c r="M9" s="2"/>
      <c r="N9" s="2"/>
      <c r="O9" s="2"/>
      <c r="P9" s="2"/>
      <c r="Q9" s="2"/>
      <c r="R9" s="2"/>
      <c r="S9" s="2"/>
      <c r="T9" s="2"/>
      <c r="U9" s="2"/>
      <c r="V9" s="2"/>
      <c r="W9" s="2"/>
    </row>
    <row r="10" spans="2:23">
      <c r="B10" s="2" t="s">
        <v>5</v>
      </c>
      <c r="C10" s="2"/>
      <c r="D10" s="2"/>
      <c r="E10" s="2"/>
      <c r="F10" s="2"/>
      <c r="G10" s="2"/>
      <c r="H10" s="2"/>
      <c r="I10" s="2"/>
      <c r="J10" s="2"/>
      <c r="K10" s="2"/>
      <c r="L10" s="2"/>
      <c r="M10" s="2"/>
      <c r="N10" s="2"/>
      <c r="O10" s="2"/>
      <c r="P10" s="2"/>
      <c r="Q10" s="2"/>
      <c r="R10" s="2"/>
      <c r="S10" s="2"/>
      <c r="T10" s="2"/>
      <c r="U10" s="2"/>
      <c r="V10" s="2"/>
      <c r="W10" s="2"/>
    </row>
    <row r="11" spans="2:23">
      <c r="B11" s="2"/>
      <c r="C11" s="2"/>
      <c r="D11" s="2"/>
      <c r="E11" s="2"/>
      <c r="F11" s="2"/>
      <c r="G11" s="2"/>
      <c r="H11" s="2"/>
      <c r="I11" s="2"/>
      <c r="J11" s="2"/>
      <c r="K11" s="2"/>
      <c r="L11" s="2"/>
      <c r="M11" s="2"/>
      <c r="N11" s="2"/>
      <c r="O11" s="2"/>
      <c r="P11" s="2" t="s">
        <v>6</v>
      </c>
      <c r="Q11" s="2"/>
      <c r="R11" s="2"/>
      <c r="S11" s="2"/>
      <c r="T11" s="2"/>
      <c r="U11" s="2"/>
      <c r="V11" s="2"/>
      <c r="W11" s="2"/>
    </row>
    <row r="12" spans="2:23" ht="219.75" customHeight="1">
      <c r="B12" s="282" t="s">
        <v>7</v>
      </c>
      <c r="C12" s="283"/>
      <c r="D12" s="283"/>
      <c r="E12" s="283"/>
      <c r="F12" s="283"/>
      <c r="G12" s="283"/>
      <c r="H12" s="283"/>
      <c r="I12" s="283"/>
      <c r="J12" s="283"/>
      <c r="K12" s="283"/>
      <c r="L12" s="283"/>
      <c r="M12" s="283"/>
      <c r="N12" s="2"/>
      <c r="O12" s="2"/>
      <c r="P12" s="2"/>
      <c r="Q12" s="2"/>
      <c r="R12" s="2"/>
      <c r="S12" s="2"/>
      <c r="T12" s="2"/>
      <c r="U12" s="2"/>
      <c r="V12" s="2"/>
      <c r="W12" s="2"/>
    </row>
    <row r="13" spans="2:23">
      <c r="B13" s="2"/>
      <c r="C13" s="2"/>
      <c r="D13" s="2"/>
      <c r="E13" s="2"/>
      <c r="F13" s="2"/>
      <c r="G13" s="2"/>
      <c r="H13" s="2"/>
      <c r="I13" s="2"/>
      <c r="J13" s="2"/>
      <c r="K13" s="2"/>
      <c r="L13" s="2"/>
      <c r="M13" s="2"/>
      <c r="N13" s="2"/>
      <c r="O13" s="2"/>
      <c r="P13" s="2"/>
      <c r="Q13" s="2"/>
      <c r="R13" s="2"/>
      <c r="S13" s="2"/>
      <c r="T13" s="2"/>
      <c r="U13" s="2"/>
      <c r="V13" s="2"/>
      <c r="W13" s="2"/>
    </row>
    <row r="14" spans="2:23">
      <c r="B14" s="5" t="s">
        <v>8</v>
      </c>
      <c r="C14" s="2"/>
      <c r="D14" s="2"/>
      <c r="E14" s="2"/>
      <c r="F14" s="2"/>
      <c r="G14" s="2"/>
      <c r="H14" s="2"/>
      <c r="I14" s="2"/>
      <c r="J14" s="2"/>
      <c r="K14" s="2"/>
      <c r="L14" s="2"/>
      <c r="M14" s="2"/>
      <c r="N14" s="2"/>
      <c r="O14" s="2"/>
      <c r="P14" s="2"/>
      <c r="Q14" s="2"/>
      <c r="R14" s="2"/>
      <c r="S14" s="2"/>
      <c r="T14" s="2"/>
      <c r="U14" s="2"/>
      <c r="V14" s="2"/>
      <c r="W14" s="2"/>
    </row>
    <row r="15" spans="2:23">
      <c r="B15" s="2" t="s">
        <v>9</v>
      </c>
      <c r="C15" s="2"/>
      <c r="D15" s="2"/>
      <c r="E15" s="2"/>
      <c r="F15" s="2"/>
      <c r="G15" s="2"/>
      <c r="H15" s="2"/>
      <c r="I15" s="2"/>
      <c r="J15" s="2"/>
      <c r="K15" s="2"/>
      <c r="L15" s="2"/>
      <c r="M15" s="2"/>
      <c r="N15" s="2"/>
      <c r="O15" s="2"/>
      <c r="P15" s="2"/>
      <c r="Q15" s="2"/>
      <c r="R15" s="2"/>
      <c r="S15" s="2"/>
      <c r="T15" s="2"/>
      <c r="U15" s="2"/>
      <c r="V15" s="2"/>
      <c r="W15" s="2"/>
    </row>
    <row r="16" spans="2:23">
      <c r="B16" s="199" t="s">
        <v>10</v>
      </c>
      <c r="C16" s="2"/>
      <c r="D16" s="2"/>
      <c r="E16" s="2"/>
      <c r="F16" s="2"/>
      <c r="G16" s="2"/>
      <c r="H16" s="2"/>
      <c r="I16" s="2"/>
      <c r="J16" s="2"/>
      <c r="K16" s="2"/>
      <c r="L16" s="2"/>
      <c r="M16" s="2"/>
      <c r="N16" s="2"/>
      <c r="O16" s="2"/>
      <c r="P16" s="2"/>
      <c r="Q16" s="2"/>
      <c r="R16" s="2"/>
      <c r="S16" s="2"/>
      <c r="T16" s="2"/>
      <c r="U16" s="2"/>
      <c r="V16" s="2"/>
      <c r="W16" s="2"/>
    </row>
    <row r="17" spans="2:23">
      <c r="B17" s="199" t="s">
        <v>11</v>
      </c>
      <c r="C17" s="2"/>
      <c r="D17" s="2"/>
      <c r="E17" s="2"/>
      <c r="F17" s="2"/>
      <c r="G17" s="2"/>
      <c r="H17" s="2"/>
      <c r="I17" s="2"/>
      <c r="J17" s="2"/>
      <c r="K17" s="2"/>
      <c r="L17" s="2"/>
      <c r="M17" s="2"/>
      <c r="N17" s="2"/>
      <c r="O17" s="2"/>
      <c r="P17" s="2"/>
      <c r="Q17" s="2"/>
      <c r="R17" s="2"/>
      <c r="S17" s="2"/>
      <c r="T17" s="2"/>
      <c r="U17" s="2"/>
      <c r="V17" s="2"/>
      <c r="W17" s="2"/>
    </row>
    <row r="18" spans="2:23">
      <c r="B18" s="2"/>
      <c r="C18" s="2"/>
      <c r="D18" s="2"/>
      <c r="E18" s="2"/>
      <c r="F18" s="2"/>
      <c r="G18" s="2"/>
      <c r="H18" s="2"/>
      <c r="I18" s="2"/>
      <c r="J18" s="2"/>
      <c r="K18" s="2"/>
      <c r="L18" s="2"/>
      <c r="M18" s="2"/>
      <c r="N18" s="2"/>
      <c r="O18" s="2"/>
      <c r="P18" s="2"/>
      <c r="Q18" s="2"/>
      <c r="R18" s="2"/>
      <c r="S18" s="2"/>
      <c r="T18" s="2"/>
      <c r="U18" s="2"/>
      <c r="V18" s="2"/>
      <c r="W18" s="2"/>
    </row>
    <row r="19" spans="2:23">
      <c r="B19" s="2"/>
      <c r="C19" s="2"/>
      <c r="D19" s="2"/>
      <c r="E19" s="2"/>
      <c r="F19" s="2"/>
      <c r="G19" s="2"/>
      <c r="H19" s="2"/>
      <c r="I19" s="2"/>
      <c r="J19" s="2"/>
      <c r="K19" s="2"/>
      <c r="L19" s="2"/>
      <c r="M19" s="2"/>
      <c r="N19" s="2"/>
      <c r="O19" s="2"/>
      <c r="P19" s="2"/>
      <c r="Q19" s="2"/>
      <c r="R19" s="2"/>
      <c r="S19" s="2"/>
      <c r="T19" s="2"/>
      <c r="U19" s="2"/>
      <c r="V19" s="2"/>
      <c r="W19" s="2"/>
    </row>
    <row r="20" spans="2:23">
      <c r="B20" s="2"/>
      <c r="C20" s="2"/>
      <c r="D20" s="2"/>
      <c r="E20" s="2"/>
      <c r="F20" s="2"/>
      <c r="G20" s="2"/>
      <c r="H20" s="2"/>
      <c r="I20" s="2"/>
      <c r="J20" s="2"/>
      <c r="K20" s="2"/>
      <c r="L20" s="2"/>
      <c r="M20" s="2"/>
      <c r="N20" s="2"/>
      <c r="O20" s="2"/>
      <c r="P20" s="2"/>
      <c r="Q20" s="2"/>
      <c r="R20" s="2"/>
      <c r="S20" s="2"/>
      <c r="T20" s="2"/>
      <c r="U20" s="2"/>
      <c r="V20" s="2"/>
      <c r="W20" s="2"/>
    </row>
    <row r="21" spans="2:23">
      <c r="B21" s="2"/>
      <c r="C21" s="2"/>
      <c r="D21" s="2"/>
      <c r="E21" s="2"/>
      <c r="F21" s="2"/>
      <c r="G21" s="2"/>
      <c r="H21" s="2"/>
      <c r="I21" s="2"/>
      <c r="J21" s="2"/>
      <c r="K21" s="2"/>
      <c r="L21" s="2"/>
      <c r="M21" s="2"/>
      <c r="N21" s="2"/>
      <c r="O21" s="2"/>
      <c r="P21" s="2"/>
      <c r="Q21" s="2"/>
      <c r="R21" s="2"/>
      <c r="S21" s="2"/>
      <c r="T21" s="2"/>
      <c r="U21" s="2"/>
      <c r="V21" s="2"/>
      <c r="W21" s="2"/>
    </row>
    <row r="22" spans="2:23">
      <c r="B22" s="2"/>
      <c r="C22" s="2"/>
      <c r="D22" s="2"/>
      <c r="E22" s="2"/>
      <c r="F22" s="2"/>
      <c r="G22" s="2"/>
      <c r="H22" s="2"/>
      <c r="I22" s="2"/>
      <c r="J22" s="2"/>
      <c r="K22" s="2"/>
      <c r="L22" s="2"/>
      <c r="M22" s="2"/>
      <c r="N22" s="2"/>
      <c r="O22" s="2"/>
      <c r="P22" s="2"/>
      <c r="Q22" s="2"/>
      <c r="R22" s="2"/>
      <c r="S22" s="2"/>
      <c r="T22" s="2"/>
      <c r="U22" s="2"/>
      <c r="V22" s="2"/>
      <c r="W22" s="2"/>
    </row>
    <row r="23" spans="2:23">
      <c r="B23" s="2"/>
      <c r="C23" s="2"/>
      <c r="D23" s="2"/>
      <c r="E23" s="2"/>
      <c r="F23" s="2"/>
      <c r="G23" s="2"/>
      <c r="H23" s="2"/>
      <c r="I23" s="2"/>
      <c r="J23" s="2"/>
      <c r="K23" s="2"/>
      <c r="L23" s="2"/>
      <c r="M23" s="2"/>
      <c r="N23" s="2"/>
      <c r="O23" s="2"/>
      <c r="P23" s="2"/>
      <c r="Q23" s="2"/>
      <c r="R23" s="2"/>
      <c r="S23" s="2"/>
      <c r="T23" s="2"/>
      <c r="U23" s="2"/>
      <c r="V23" s="2"/>
      <c r="W23" s="2"/>
    </row>
    <row r="24" spans="2:23">
      <c r="B24" s="2"/>
      <c r="C24" s="2"/>
      <c r="D24" s="2"/>
      <c r="E24" s="2"/>
      <c r="F24" s="2"/>
      <c r="G24" s="2"/>
      <c r="H24" s="2"/>
      <c r="I24" s="2"/>
      <c r="J24" s="2"/>
      <c r="K24" s="2"/>
      <c r="L24" s="2"/>
      <c r="M24" s="2"/>
      <c r="N24" s="2"/>
      <c r="O24" s="2"/>
      <c r="P24" s="2"/>
      <c r="Q24" s="2"/>
      <c r="R24" s="2"/>
      <c r="S24" s="2"/>
      <c r="T24" s="2"/>
      <c r="U24" s="2"/>
      <c r="V24" s="2"/>
      <c r="W24" s="2"/>
    </row>
    <row r="25" spans="2:23">
      <c r="B25" s="2"/>
      <c r="C25" s="2"/>
      <c r="D25" s="2"/>
      <c r="E25" s="2"/>
      <c r="F25" s="2"/>
      <c r="G25" s="2"/>
      <c r="H25" s="2"/>
      <c r="I25" s="2"/>
      <c r="J25" s="2"/>
      <c r="K25" s="2"/>
      <c r="L25" s="2"/>
      <c r="M25" s="2"/>
      <c r="N25" s="2"/>
      <c r="O25" s="2"/>
      <c r="P25" s="2"/>
      <c r="Q25" s="2"/>
      <c r="R25" s="2"/>
      <c r="S25" s="2"/>
      <c r="T25" s="2"/>
      <c r="U25" s="2"/>
      <c r="V25" s="2"/>
      <c r="W25" s="2"/>
    </row>
    <row r="26" spans="2:23">
      <c r="B26" s="2"/>
      <c r="C26" s="2"/>
      <c r="D26" s="2"/>
      <c r="E26" s="2"/>
      <c r="F26" s="2"/>
      <c r="G26" s="2"/>
      <c r="H26" s="2"/>
      <c r="I26" s="2"/>
      <c r="J26" s="2"/>
      <c r="K26" s="2"/>
      <c r="L26" s="2"/>
      <c r="M26" s="2"/>
      <c r="N26" s="2"/>
      <c r="O26" s="2"/>
      <c r="P26" s="2"/>
      <c r="Q26" s="2"/>
      <c r="R26" s="2"/>
      <c r="S26" s="2"/>
      <c r="T26" s="2"/>
      <c r="U26" s="2"/>
      <c r="V26" s="2"/>
      <c r="W26" s="2"/>
    </row>
    <row r="27" spans="2:23">
      <c r="B27" s="2"/>
      <c r="C27" s="2"/>
      <c r="D27" s="2"/>
      <c r="E27" s="2"/>
      <c r="F27" s="2"/>
      <c r="G27" s="2"/>
      <c r="H27" s="2"/>
      <c r="I27" s="2"/>
      <c r="J27" s="2"/>
      <c r="K27" s="2"/>
      <c r="L27" s="2"/>
      <c r="M27" s="2"/>
      <c r="N27" s="2"/>
      <c r="O27" s="2"/>
      <c r="P27" s="2"/>
      <c r="Q27" s="2"/>
      <c r="R27" s="2"/>
      <c r="S27" s="2"/>
      <c r="T27" s="2"/>
      <c r="U27" s="2"/>
      <c r="V27" s="2"/>
      <c r="W27" s="2"/>
    </row>
    <row r="28" spans="2:23">
      <c r="B28" s="2"/>
      <c r="C28" s="2"/>
      <c r="D28" s="2"/>
      <c r="E28" s="2"/>
      <c r="F28" s="2"/>
      <c r="G28" s="2"/>
      <c r="H28" s="2"/>
      <c r="I28" s="2"/>
      <c r="J28" s="2"/>
      <c r="K28" s="2"/>
      <c r="L28" s="2"/>
      <c r="M28" s="2"/>
      <c r="N28" s="2"/>
      <c r="O28" s="2"/>
      <c r="P28" s="2"/>
      <c r="Q28" s="2"/>
      <c r="R28" s="2"/>
      <c r="S28" s="2"/>
      <c r="T28" s="2"/>
      <c r="U28" s="2"/>
      <c r="V28" s="2"/>
      <c r="W28" s="2"/>
    </row>
    <row r="29" spans="2:23">
      <c r="B29" s="2"/>
      <c r="C29" s="2"/>
      <c r="D29" s="2"/>
      <c r="E29" s="2"/>
      <c r="F29" s="2"/>
      <c r="G29" s="2"/>
      <c r="H29" s="2"/>
      <c r="I29" s="2"/>
      <c r="J29" s="2"/>
      <c r="K29" s="2"/>
      <c r="L29" s="2"/>
      <c r="M29" s="2"/>
      <c r="N29" s="2"/>
      <c r="O29" s="2"/>
      <c r="P29" s="2"/>
      <c r="Q29" s="2"/>
      <c r="R29" s="2"/>
      <c r="S29" s="2"/>
      <c r="T29" s="2"/>
      <c r="U29" s="2"/>
      <c r="V29" s="2"/>
      <c r="W29" s="2"/>
    </row>
    <row r="30" spans="2:23">
      <c r="B30" s="2"/>
      <c r="C30" s="2"/>
      <c r="D30" s="2"/>
      <c r="E30" s="2"/>
      <c r="F30" s="2"/>
      <c r="G30" s="2"/>
      <c r="H30" s="2"/>
      <c r="I30" s="2"/>
      <c r="J30" s="2"/>
      <c r="K30" s="2"/>
      <c r="L30" s="2"/>
      <c r="M30" s="2"/>
      <c r="N30" s="2"/>
      <c r="O30" s="2"/>
      <c r="P30" s="2"/>
      <c r="Q30" s="2"/>
      <c r="R30" s="2"/>
      <c r="S30" s="2"/>
      <c r="T30" s="2"/>
      <c r="U30" s="2"/>
      <c r="V30" s="2"/>
      <c r="W30" s="2"/>
    </row>
    <row r="31" spans="2:23">
      <c r="B31" s="2"/>
      <c r="C31" s="2"/>
      <c r="D31" s="2"/>
      <c r="E31" s="2"/>
      <c r="F31" s="2"/>
      <c r="G31" s="2"/>
      <c r="H31" s="2"/>
      <c r="I31" s="2"/>
      <c r="J31" s="2"/>
      <c r="K31" s="2"/>
      <c r="L31" s="2"/>
      <c r="M31" s="2"/>
      <c r="N31" s="2"/>
      <c r="O31" s="2"/>
      <c r="P31" s="2"/>
      <c r="Q31" s="2"/>
      <c r="R31" s="2"/>
      <c r="S31" s="2"/>
      <c r="T31" s="2"/>
      <c r="U31" s="2"/>
      <c r="V31" s="2"/>
      <c r="W31" s="2"/>
    </row>
    <row r="32" spans="2:23">
      <c r="B32" s="2"/>
      <c r="C32" s="2"/>
      <c r="D32" s="2"/>
      <c r="E32" s="2"/>
      <c r="F32" s="2"/>
      <c r="G32" s="2"/>
      <c r="H32" s="2"/>
      <c r="I32" s="2"/>
      <c r="J32" s="2"/>
      <c r="K32" s="2"/>
      <c r="L32" s="2"/>
      <c r="M32" s="2"/>
      <c r="N32" s="2"/>
      <c r="O32" s="2"/>
      <c r="P32" s="2"/>
      <c r="Q32" s="2"/>
      <c r="R32" s="2"/>
      <c r="S32" s="2"/>
      <c r="T32" s="2"/>
      <c r="U32" s="2"/>
      <c r="V32" s="2"/>
      <c r="W32" s="2"/>
    </row>
    <row r="33" spans="2:23" ht="27">
      <c r="B33" s="2"/>
      <c r="C33" s="1"/>
      <c r="D33" s="2"/>
      <c r="E33" s="2"/>
      <c r="F33" s="2"/>
      <c r="G33" s="2"/>
      <c r="H33" s="2"/>
      <c r="I33" s="2"/>
      <c r="J33" s="2"/>
      <c r="K33" s="2"/>
      <c r="L33" s="2"/>
      <c r="M33" s="2"/>
      <c r="N33" s="2"/>
      <c r="O33" s="2"/>
      <c r="P33" s="2"/>
      <c r="Q33" s="2"/>
      <c r="R33" s="2"/>
      <c r="S33" s="2"/>
      <c r="T33" s="2"/>
      <c r="U33" s="2"/>
      <c r="V33" s="2"/>
      <c r="W33" s="2"/>
    </row>
    <row r="34" spans="2:23">
      <c r="B34" s="2"/>
      <c r="C34" s="2"/>
      <c r="D34" s="2"/>
      <c r="E34" s="2"/>
      <c r="F34" s="2"/>
      <c r="G34" s="2"/>
      <c r="H34" s="2"/>
      <c r="I34" s="2"/>
      <c r="J34" s="2"/>
      <c r="K34" s="2"/>
      <c r="L34" s="2"/>
      <c r="M34" s="2"/>
      <c r="N34" s="2"/>
      <c r="O34" s="2"/>
      <c r="P34" s="2"/>
      <c r="Q34" s="2"/>
      <c r="R34" s="2"/>
      <c r="S34" s="2"/>
      <c r="T34" s="2"/>
      <c r="U34" s="2"/>
      <c r="V34" s="2"/>
      <c r="W34" s="2"/>
    </row>
    <row r="35" spans="2:23" ht="17.399999999999999">
      <c r="B35" s="7" t="s">
        <v>12</v>
      </c>
      <c r="C35" s="2"/>
      <c r="D35" s="2"/>
      <c r="E35" s="2"/>
      <c r="F35" s="2"/>
      <c r="G35" s="2"/>
      <c r="H35" s="2"/>
      <c r="I35" s="2"/>
      <c r="J35" s="2"/>
      <c r="K35" s="2"/>
      <c r="L35" s="2"/>
      <c r="M35" s="2"/>
      <c r="N35" s="2"/>
      <c r="O35" s="2"/>
      <c r="P35" s="2"/>
      <c r="Q35" s="2"/>
      <c r="R35" s="2"/>
      <c r="S35" s="2"/>
      <c r="T35" s="2"/>
      <c r="U35" s="2"/>
      <c r="V35" s="2"/>
      <c r="W35" s="2"/>
    </row>
    <row r="36" spans="2:23">
      <c r="B36" s="11" t="s">
        <v>13</v>
      </c>
      <c r="C36" s="11" t="s">
        <v>2</v>
      </c>
      <c r="D36" s="284" t="s">
        <v>4</v>
      </c>
      <c r="E36" s="284"/>
      <c r="F36" s="284"/>
      <c r="G36" s="284"/>
      <c r="H36" s="284"/>
      <c r="I36" s="284"/>
      <c r="J36" s="284"/>
      <c r="K36" s="284"/>
      <c r="L36" s="284"/>
      <c r="M36" s="284"/>
      <c r="N36" s="2"/>
      <c r="O36" s="2"/>
      <c r="P36" s="2"/>
      <c r="Q36" s="2"/>
      <c r="R36" s="2"/>
      <c r="S36" s="2"/>
      <c r="T36" s="2"/>
      <c r="U36" s="2"/>
      <c r="V36" s="2"/>
      <c r="W36" s="2"/>
    </row>
    <row r="37" spans="2:23">
      <c r="B37" s="9">
        <v>1</v>
      </c>
      <c r="C37" s="10">
        <v>45632</v>
      </c>
      <c r="D37" s="285" t="s">
        <v>14</v>
      </c>
      <c r="E37" s="285"/>
      <c r="F37" s="285"/>
      <c r="G37" s="285"/>
      <c r="H37" s="285"/>
      <c r="I37" s="285"/>
      <c r="J37" s="285"/>
      <c r="K37" s="285"/>
      <c r="L37" s="285"/>
      <c r="M37" s="285"/>
      <c r="N37" s="2"/>
      <c r="O37" s="2"/>
      <c r="P37" s="2"/>
      <c r="Q37" s="2"/>
      <c r="R37" s="2"/>
      <c r="S37" s="2"/>
      <c r="T37" s="2"/>
      <c r="U37" s="2"/>
      <c r="V37" s="2"/>
      <c r="W37" s="2"/>
    </row>
    <row r="38" spans="2:23">
      <c r="B38" s="2"/>
      <c r="C38" s="2"/>
      <c r="D38" s="2"/>
      <c r="E38" s="2"/>
      <c r="F38" s="2"/>
      <c r="G38" s="2"/>
      <c r="H38" s="2"/>
      <c r="I38" s="2"/>
      <c r="J38" s="2"/>
      <c r="K38" s="2"/>
      <c r="L38" s="2"/>
      <c r="M38" s="2"/>
      <c r="N38" s="2"/>
      <c r="O38" s="2"/>
      <c r="P38" s="2"/>
      <c r="Q38" s="2"/>
      <c r="R38" s="2"/>
      <c r="S38" s="2"/>
      <c r="T38" s="2"/>
      <c r="U38" s="2"/>
      <c r="V38" s="2"/>
      <c r="W38" s="2"/>
    </row>
    <row r="39" spans="2:23">
      <c r="B39" s="2"/>
      <c r="C39" s="2"/>
      <c r="D39" s="2"/>
      <c r="E39" s="2"/>
      <c r="F39" s="2"/>
      <c r="G39" s="2"/>
      <c r="H39" s="2"/>
      <c r="I39" s="2"/>
      <c r="J39" s="2"/>
      <c r="K39" s="2"/>
      <c r="L39" s="2"/>
      <c r="M39" s="2"/>
      <c r="N39" s="2"/>
      <c r="O39" s="2"/>
      <c r="P39" s="2"/>
      <c r="Q39" s="2"/>
      <c r="R39" s="2"/>
      <c r="S39" s="2"/>
      <c r="T39" s="2"/>
      <c r="U39" s="2"/>
      <c r="V39" s="2"/>
      <c r="W39" s="2"/>
    </row>
    <row r="40" spans="2:23">
      <c r="B40" s="2"/>
      <c r="C40" s="2"/>
      <c r="D40" s="2"/>
      <c r="E40" s="2"/>
      <c r="F40" s="2"/>
      <c r="G40" s="2"/>
      <c r="H40" s="2"/>
      <c r="I40" s="2"/>
      <c r="J40" s="2"/>
      <c r="K40" s="2"/>
      <c r="L40" s="2"/>
      <c r="M40" s="2"/>
      <c r="N40" s="2"/>
      <c r="O40" s="2"/>
      <c r="P40" s="2"/>
      <c r="Q40" s="2"/>
      <c r="R40" s="2"/>
      <c r="S40" s="2"/>
      <c r="T40" s="2"/>
      <c r="U40" s="2"/>
      <c r="V40" s="2"/>
      <c r="W40" s="2"/>
    </row>
    <row r="41" spans="2:23">
      <c r="B41" s="2"/>
      <c r="C41" s="2"/>
      <c r="D41" s="2"/>
      <c r="E41" s="2"/>
      <c r="F41" s="2"/>
      <c r="G41" s="2"/>
      <c r="H41" s="2"/>
      <c r="I41" s="2"/>
      <c r="J41" s="2"/>
      <c r="K41" s="2"/>
      <c r="L41" s="2"/>
      <c r="M41" s="2"/>
      <c r="N41" s="2"/>
      <c r="O41" s="2"/>
      <c r="P41" s="2"/>
      <c r="Q41" s="2"/>
      <c r="R41" s="2"/>
      <c r="S41" s="2"/>
      <c r="T41" s="2"/>
      <c r="U41" s="2"/>
      <c r="V41" s="2"/>
      <c r="W41" s="2"/>
    </row>
    <row r="42" spans="2:23">
      <c r="B42" s="2"/>
      <c r="C42" s="2"/>
      <c r="D42" s="2"/>
      <c r="E42" s="2"/>
      <c r="F42" s="2"/>
      <c r="G42" s="2"/>
      <c r="H42" s="2"/>
      <c r="I42" s="2"/>
      <c r="J42" s="2"/>
      <c r="K42" s="2"/>
      <c r="L42" s="2"/>
      <c r="M42" s="2"/>
      <c r="N42" s="2"/>
      <c r="O42" s="2"/>
      <c r="P42" s="2"/>
      <c r="Q42" s="2"/>
      <c r="R42" s="2"/>
      <c r="S42" s="2"/>
      <c r="T42" s="2"/>
      <c r="U42" s="2"/>
      <c r="V42" s="2"/>
      <c r="W42" s="2"/>
    </row>
    <row r="43" spans="2:23">
      <c r="B43" s="2"/>
      <c r="C43" s="2"/>
      <c r="D43" s="2"/>
      <c r="E43" s="2"/>
      <c r="F43" s="2"/>
      <c r="G43" s="2"/>
      <c r="H43" s="2"/>
      <c r="I43" s="2"/>
      <c r="J43" s="2"/>
      <c r="K43" s="2"/>
      <c r="L43" s="2"/>
      <c r="M43" s="2"/>
      <c r="N43" s="2"/>
      <c r="O43" s="2"/>
      <c r="P43" s="2"/>
      <c r="Q43" s="2"/>
      <c r="R43" s="2"/>
      <c r="S43" s="2"/>
      <c r="T43" s="2"/>
      <c r="U43" s="2"/>
      <c r="V43" s="2"/>
      <c r="W43" s="2"/>
    </row>
    <row r="44" spans="2:23">
      <c r="B44" s="2"/>
      <c r="C44" s="2"/>
      <c r="D44" s="2"/>
      <c r="E44" s="2"/>
      <c r="F44" s="2"/>
      <c r="G44" s="2"/>
      <c r="H44" s="2"/>
      <c r="I44" s="2"/>
      <c r="J44" s="2"/>
      <c r="K44" s="2"/>
      <c r="L44" s="2"/>
      <c r="M44" s="2"/>
      <c r="N44" s="2"/>
      <c r="O44" s="2"/>
      <c r="P44" s="2"/>
      <c r="Q44" s="2"/>
      <c r="R44" s="2"/>
      <c r="S44" s="2"/>
      <c r="T44" s="2"/>
      <c r="U44" s="2"/>
      <c r="V44" s="2"/>
      <c r="W44" s="2"/>
    </row>
    <row r="45" spans="2:23">
      <c r="B45" s="2"/>
      <c r="C45" s="2"/>
      <c r="D45" s="2"/>
      <c r="E45" s="2"/>
      <c r="F45" s="2"/>
      <c r="G45" s="2"/>
      <c r="H45" s="2"/>
      <c r="I45" s="2"/>
      <c r="J45" s="2"/>
      <c r="K45" s="2"/>
      <c r="L45" s="2"/>
      <c r="M45" s="2"/>
      <c r="N45" s="2"/>
      <c r="O45" s="2"/>
      <c r="P45" s="2"/>
      <c r="Q45" s="2"/>
      <c r="R45" s="2"/>
      <c r="S45" s="2"/>
      <c r="T45" s="2"/>
      <c r="U45" s="2"/>
      <c r="V45" s="2"/>
      <c r="W45" s="2"/>
    </row>
    <row r="46" spans="2:23">
      <c r="B46" s="2"/>
      <c r="C46" s="2"/>
      <c r="D46" s="2"/>
      <c r="E46" s="2"/>
      <c r="F46" s="2"/>
      <c r="G46" s="2"/>
      <c r="H46" s="2"/>
      <c r="I46" s="2"/>
      <c r="J46" s="2"/>
      <c r="K46" s="2"/>
      <c r="L46" s="2"/>
      <c r="M46" s="2"/>
      <c r="N46" s="2"/>
      <c r="O46" s="2"/>
      <c r="P46" s="2"/>
      <c r="Q46" s="2"/>
      <c r="R46" s="2"/>
      <c r="S46" s="2"/>
      <c r="T46" s="2"/>
      <c r="U46" s="2"/>
      <c r="V46" s="2"/>
      <c r="W46" s="2"/>
    </row>
    <row r="47" spans="2:23">
      <c r="B47" s="2"/>
      <c r="C47" s="2"/>
      <c r="D47" s="2"/>
      <c r="E47" s="2"/>
      <c r="F47" s="2"/>
      <c r="G47" s="2"/>
      <c r="H47" s="2"/>
      <c r="I47" s="2"/>
      <c r="J47" s="2"/>
      <c r="K47" s="2"/>
      <c r="L47" s="2"/>
      <c r="M47" s="2"/>
      <c r="N47" s="2"/>
      <c r="O47" s="2"/>
      <c r="P47" s="2"/>
      <c r="Q47" s="2"/>
      <c r="R47" s="2"/>
      <c r="S47" s="2"/>
      <c r="T47" s="2"/>
      <c r="U47" s="2"/>
      <c r="V47" s="2"/>
      <c r="W47" s="2"/>
    </row>
  </sheetData>
  <sheetProtection algorithmName="SHA-512" hashValue="VPxFyIRPNLgA1u3svQoXJN4AjbFXrcfiyxrOA/8tnDP4pxY0mB9tanBU/fumRRiYwl52c1t36qyaxhWGUUt3FA==" saltValue="hm1Jy+ynVqX+puzXjotfIw==" spinCount="100000" sheet="1" objects="1" scenarios="1"/>
  <mergeCells count="3">
    <mergeCell ref="B12:M12"/>
    <mergeCell ref="D36:M36"/>
    <mergeCell ref="D37:M37"/>
  </mergeCells>
  <pageMargins left="0.7" right="0.7" top="0.75" bottom="0.75" header="0.3" footer="0.3"/>
  <pageSetup paperSize="9" scale="60"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08A-0728-43CB-BC7E-C611C9126737}">
  <sheetPr codeName="Sheet2">
    <pageSetUpPr fitToPage="1"/>
  </sheetPr>
  <dimension ref="A2:AE70"/>
  <sheetViews>
    <sheetView showGridLines="0" zoomScale="85" zoomScaleNormal="85" workbookViewId="0">
      <selection activeCell="C11" sqref="C11"/>
    </sheetView>
  </sheetViews>
  <sheetFormatPr baseColWidth="10" defaultColWidth="9.15625" defaultRowHeight="13.8"/>
  <cols>
    <col min="1" max="1" width="5.68359375" style="2" customWidth="1"/>
    <col min="2" max="2" width="3.41796875" style="2" customWidth="1"/>
    <col min="3" max="3" width="66.83984375" style="2" customWidth="1"/>
    <col min="4" max="4" width="17.68359375" style="2" customWidth="1"/>
    <col min="5" max="5" width="14.578125" style="2" bestFit="1" customWidth="1"/>
    <col min="6" max="6" width="15.578125" style="2" bestFit="1" customWidth="1"/>
    <col min="7" max="7" width="14.578125" style="2" bestFit="1" customWidth="1"/>
    <col min="8" max="8" width="15.578125" style="2" bestFit="1" customWidth="1"/>
    <col min="9" max="9" width="14.41796875" style="2" customWidth="1"/>
    <col min="10" max="10" width="15.578125" style="2" bestFit="1" customWidth="1"/>
    <col min="11" max="11" width="14.578125" style="2" bestFit="1" customWidth="1"/>
    <col min="12" max="12" width="15.578125" style="2" bestFit="1" customWidth="1"/>
    <col min="13" max="13" width="14.578125" style="2" bestFit="1" customWidth="1"/>
    <col min="14" max="15" width="9.15625" style="2" customWidth="1"/>
    <col min="16" max="16" width="9.83984375" style="2" customWidth="1"/>
    <col min="17" max="23" width="9.15625" style="2" hidden="1" customWidth="1"/>
    <col min="24" max="24" width="28.578125" style="2" hidden="1" customWidth="1"/>
    <col min="25" max="31" width="9.15625" style="2" hidden="1" customWidth="1"/>
    <col min="32" max="16384" width="9.15625" style="2"/>
  </cols>
  <sheetData>
    <row r="2" spans="1:31" ht="24.9">
      <c r="C2" s="198" t="s">
        <v>15</v>
      </c>
    </row>
    <row r="3" spans="1:31">
      <c r="A3" s="6"/>
      <c r="C3" s="2" t="s">
        <v>16</v>
      </c>
    </row>
    <row r="4" spans="1:31">
      <c r="A4" s="6"/>
      <c r="C4" s="6"/>
    </row>
    <row r="5" spans="1:31" ht="57.6" customHeight="1">
      <c r="A5" s="6"/>
      <c r="C5" s="282" t="s">
        <v>579</v>
      </c>
      <c r="D5" s="282"/>
      <c r="E5" s="282"/>
      <c r="F5" s="282"/>
      <c r="G5" s="282"/>
      <c r="H5" s="282"/>
    </row>
    <row r="6" spans="1:31">
      <c r="A6" s="6"/>
    </row>
    <row r="7" spans="1:31">
      <c r="A7" s="6"/>
      <c r="C7" s="2" t="s">
        <v>17</v>
      </c>
    </row>
    <row r="8" spans="1:31">
      <c r="A8" s="6"/>
    </row>
    <row r="9" spans="1:31">
      <c r="A9" s="6"/>
    </row>
    <row r="10" spans="1:31" ht="24.9">
      <c r="A10" s="6"/>
      <c r="C10" s="198" t="s">
        <v>18</v>
      </c>
      <c r="N10" s="12"/>
      <c r="X10" s="9" t="s">
        <v>19</v>
      </c>
      <c r="Y10" s="9" t="str">
        <f>'Generelt om prosjektet'!C21</f>
        <v>Velg antall</v>
      </c>
    </row>
    <row r="11" spans="1:31">
      <c r="A11" s="6"/>
      <c r="C11" s="19" t="str">
        <f>"Utslipp i tabellen er i tonn CO2 ekv, "&amp;VLOOKUP('Generelt om prosjektet'!C25,'Generelt om prosjektet'!W25:X28,2,FALSE)&amp;". Klimagassutslipp for materialer, anleggsfase og energi er oppgit uten hensyn til binding av biogent karbon. Klimagassutslipp fra arealbruksendringer (A5, B1) er utslipp og opptak av biogent karbon. GWP står for Global Warming Potential. "</f>
        <v xml:space="preserve">Utslipp i tabellen er i tonn CO2 ekv, GWP. Klimagassutslipp for materialer, anleggsfase og energi er oppgit uten hensyn til binding av biogent karbon. Klimagassutslipp fra arealbruksendringer (A5, B1) er utslipp og opptak av biogent karbon. GWP står for Global Warming Potential. </v>
      </c>
      <c r="Z11" s="2">
        <f>IF(Y10&gt;1,1,0)</f>
        <v>1</v>
      </c>
      <c r="AA11" s="2">
        <f>IF(Y10&gt;2,1,0)</f>
        <v>1</v>
      </c>
      <c r="AB11" s="2">
        <f>IF(Y10&gt;3,1,0)</f>
        <v>1</v>
      </c>
      <c r="AC11" s="2">
        <f>IF(Y10&gt;4,1,0)</f>
        <v>1</v>
      </c>
    </row>
    <row r="12" spans="1:31">
      <c r="A12" s="6"/>
      <c r="B12" s="25"/>
      <c r="C12" s="25"/>
      <c r="D12" s="25"/>
      <c r="E12" s="25"/>
      <c r="F12" s="25"/>
      <c r="G12" s="25"/>
      <c r="H12" s="25"/>
      <c r="I12" s="25"/>
      <c r="J12" s="25"/>
      <c r="K12" s="25"/>
      <c r="L12" s="25"/>
      <c r="M12" s="25"/>
      <c r="N12" s="271"/>
      <c r="O12" s="109"/>
    </row>
    <row r="13" spans="1:31">
      <c r="B13" s="25"/>
      <c r="C13" s="172" t="s">
        <v>20</v>
      </c>
      <c r="D13" s="287" t="s">
        <v>21</v>
      </c>
      <c r="E13" s="287"/>
      <c r="F13" s="296" t="s">
        <v>22</v>
      </c>
      <c r="G13" s="288"/>
      <c r="H13" s="289" t="s">
        <v>23</v>
      </c>
      <c r="I13" s="289"/>
      <c r="J13" s="290" t="s">
        <v>24</v>
      </c>
      <c r="K13" s="290"/>
      <c r="L13" s="292" t="s">
        <v>25</v>
      </c>
      <c r="M13" s="292"/>
      <c r="N13" s="109"/>
      <c r="O13" s="109"/>
      <c r="Q13" s="2" t="s">
        <v>26</v>
      </c>
    </row>
    <row r="14" spans="1:31" ht="14.1">
      <c r="B14" s="25"/>
      <c r="C14" s="203" t="s">
        <v>27</v>
      </c>
      <c r="D14" s="145" t="s">
        <v>28</v>
      </c>
      <c r="E14" s="145" t="s">
        <v>29</v>
      </c>
      <c r="F14" s="204" t="s">
        <v>28</v>
      </c>
      <c r="G14" s="204" t="s">
        <v>29</v>
      </c>
      <c r="H14" s="145" t="s">
        <v>28</v>
      </c>
      <c r="I14" s="145" t="s">
        <v>29</v>
      </c>
      <c r="J14" s="145" t="s">
        <v>28</v>
      </c>
      <c r="K14" s="145" t="s">
        <v>29</v>
      </c>
      <c r="L14" s="145" t="s">
        <v>28</v>
      </c>
      <c r="M14" s="145" t="s">
        <v>29</v>
      </c>
      <c r="N14" s="109"/>
      <c r="O14" s="109"/>
      <c r="Q14" s="2">
        <v>1</v>
      </c>
      <c r="R14" s="2">
        <v>2</v>
      </c>
      <c r="S14" s="2">
        <v>3</v>
      </c>
      <c r="T14" s="2">
        <v>4</v>
      </c>
      <c r="U14" s="2">
        <v>5</v>
      </c>
      <c r="X14" s="5" t="str">
        <f>"Resultat, tonn CO2 ekv, "&amp;'Generelt om prosjektet'!C24&amp;" år"</f>
        <v>Resultat, tonn CO2 ekv, 50 år</v>
      </c>
    </row>
    <row r="15" spans="1:31">
      <c r="A15" s="6"/>
      <c r="B15" s="25"/>
      <c r="C15" s="154" t="s">
        <v>30</v>
      </c>
      <c r="D15" s="152">
        <f>('Alternativ 1'!$G$80)</f>
        <v>0</v>
      </c>
      <c r="E15" s="195">
        <f>'Alternativ 1'!H80</f>
        <v>0</v>
      </c>
      <c r="F15" s="152">
        <f>('Alternativ 2'!G80)</f>
        <v>0</v>
      </c>
      <c r="G15" s="195">
        <f>IF(Z11=0,"",'Alternativ 2'!H80)</f>
        <v>0</v>
      </c>
      <c r="H15" s="152">
        <f>('Alternativ 3'!G80)</f>
        <v>0</v>
      </c>
      <c r="I15" s="195">
        <f>IF(AA11=0,"",'Alternativ 3'!H80)</f>
        <v>0</v>
      </c>
      <c r="J15" s="152">
        <f>('Alternativ 4'!G80)</f>
        <v>0</v>
      </c>
      <c r="K15" s="195">
        <f>IF(AB11=0,"",'Alternativ 4'!H80)</f>
        <v>0</v>
      </c>
      <c r="L15" s="152">
        <f>('Alternativ 5'!G80)</f>
        <v>0</v>
      </c>
      <c r="M15" s="195">
        <f>IF(AC11=0,"",'Alternativ 5'!H80)</f>
        <v>0</v>
      </c>
      <c r="N15" s="109"/>
      <c r="O15" s="109"/>
      <c r="X15" s="9"/>
      <c r="Y15" s="9" t="s">
        <v>21</v>
      </c>
      <c r="Z15" s="9" t="str">
        <f>IF($Z$11=0,"","Alternativ 2")</f>
        <v>Alternativ 2</v>
      </c>
      <c r="AA15" s="9" t="str">
        <f>IF($AA$11=0,"","Alternativ 3")</f>
        <v>Alternativ 3</v>
      </c>
      <c r="AB15" s="9" t="str">
        <f>IF($AB$11=0,"","Alternativ 4")</f>
        <v>Alternativ 4</v>
      </c>
      <c r="AC15" s="9" t="str">
        <f>IF($AC$11=0,"","Alternativ 5")</f>
        <v>Alternativ 5</v>
      </c>
      <c r="AE15" s="2" t="s">
        <v>31</v>
      </c>
    </row>
    <row r="16" spans="1:31">
      <c r="A16" s="6"/>
      <c r="B16" s="25"/>
      <c r="C16" s="154" t="s">
        <v>32</v>
      </c>
      <c r="D16" s="152">
        <f>('Alternativ 1'!$G$81)</f>
        <v>0</v>
      </c>
      <c r="E16" s="22">
        <f>'Alternativ 1'!H81</f>
        <v>1</v>
      </c>
      <c r="F16" s="152">
        <f>('Alternativ 2'!G81)</f>
        <v>0</v>
      </c>
      <c r="G16" s="22">
        <f>IF(Z11=0,"",'Alternativ 2'!H81)</f>
        <v>1</v>
      </c>
      <c r="H16" s="152">
        <f>('Alternativ 3'!G81)</f>
        <v>0</v>
      </c>
      <c r="I16" s="22">
        <f>IF(AA11=0,"",'Alternativ 3'!H81)</f>
        <v>1</v>
      </c>
      <c r="J16" s="152">
        <f>('Alternativ 4'!G81)</f>
        <v>0</v>
      </c>
      <c r="K16" s="22">
        <f>IF(AB11=0,"",'Alternativ 4'!H81)</f>
        <v>1</v>
      </c>
      <c r="L16" s="152">
        <f>('Alternativ 5'!G81)</f>
        <v>0</v>
      </c>
      <c r="M16" s="22">
        <f>IF(AC11=0,"",'Alternativ 5'!H81)</f>
        <v>1</v>
      </c>
      <c r="N16" s="109"/>
      <c r="O16" s="109"/>
      <c r="W16" s="2" t="s">
        <v>33</v>
      </c>
      <c r="X16" s="13" t="s">
        <v>34</v>
      </c>
      <c r="Y16" s="14">
        <f>D15</f>
        <v>0</v>
      </c>
      <c r="Z16" s="14">
        <f>IF($Z$11=0,"",F15)</f>
        <v>0</v>
      </c>
      <c r="AA16" s="14">
        <f>IF($AA$11=0,"",H15)</f>
        <v>0</v>
      </c>
      <c r="AB16" s="14">
        <f>IF($AB$11=0,"",J15)</f>
        <v>0</v>
      </c>
      <c r="AC16" s="14">
        <f>IF($AC$11=0,"",L15)</f>
        <v>0</v>
      </c>
    </row>
    <row r="17" spans="1:29">
      <c r="A17" s="6"/>
      <c r="B17" s="25"/>
      <c r="C17" s="107" t="s">
        <v>35</v>
      </c>
      <c r="D17" s="152">
        <f>(('Alternativ 1'!$G$82+'Alternativ 1'!$G$83+'Alternativ 1'!$G$89+'Alternativ 1'!$G$92))</f>
        <v>0</v>
      </c>
      <c r="E17" s="22">
        <f>IFERROR(D17/Q17,1)</f>
        <v>1</v>
      </c>
      <c r="F17" s="152">
        <f>(('Alternativ 2'!G82+'Alternativ 2'!G83+'Alternativ 2'!G89+'Alternativ 2'!G92))</f>
        <v>0</v>
      </c>
      <c r="G17" s="22">
        <f>IF(Z11=0,"",IFERROR(D17/R17,1))</f>
        <v>1</v>
      </c>
      <c r="H17" s="152">
        <f>(('Alternativ 3'!G82+'Alternativ 3'!G83+'Alternativ 3'!G89+'Alternativ 3'!G92))</f>
        <v>0</v>
      </c>
      <c r="I17" s="22">
        <f>IF(AA11=0,"",IFERROR(D17/S17,1))</f>
        <v>1</v>
      </c>
      <c r="J17" s="152">
        <f>(('Alternativ 4'!G82+'Alternativ 4'!G83+'Alternativ 4'!G89+'Alternativ 4'!G92))</f>
        <v>0</v>
      </c>
      <c r="K17" s="22">
        <f>IF(AB11=0,"",IFERROR(D17/T17,1))</f>
        <v>1</v>
      </c>
      <c r="L17" s="152">
        <f>(('Alternativ 5'!G82+'Alternativ 5'!G83+'Alternativ 5'!G89+'Alternativ 5'!G92))</f>
        <v>0</v>
      </c>
      <c r="M17" s="22">
        <f>IF(AC11=0,"",IFERROR(D17/U17,1))</f>
        <v>1</v>
      </c>
      <c r="N17" s="109"/>
      <c r="O17" s="109"/>
      <c r="Q17" s="14">
        <f>(('Alternativ 1'!$V$82+'Alternativ 1'!$V$83+'Alternativ 1'!$V$89+'Alternativ 1'!$V$92))</f>
        <v>0</v>
      </c>
      <c r="R17" s="14">
        <f>(('Alternativ 2'!$V$82+'Alternativ 2'!$V$83+'Alternativ 2'!$V$89+'Alternativ 2'!$V$92))</f>
        <v>0</v>
      </c>
      <c r="S17" s="14">
        <f>(('Alternativ 3'!$V$82+'Alternativ 3'!$V$83+'Alternativ 3'!$V$89+'Alternativ 3'!$V$92))</f>
        <v>0</v>
      </c>
      <c r="T17" s="14">
        <f>(('Alternativ 4'!$V$82+'Alternativ 4'!$V$83+'Alternativ 4'!$V$89+'Alternativ 4'!$V$92))</f>
        <v>0</v>
      </c>
      <c r="U17" s="14">
        <f>(('Alternativ 5'!$V$82+'Alternativ 5'!$V$83+'Alternativ 5'!$V$89+'Alternativ 5'!$V$92))</f>
        <v>0</v>
      </c>
      <c r="X17" s="13" t="s">
        <v>36</v>
      </c>
      <c r="Y17" s="14">
        <f>D16+D17</f>
        <v>0</v>
      </c>
      <c r="Z17" s="14">
        <f>IF($Z$11=0,"",F16+F17)</f>
        <v>0</v>
      </c>
      <c r="AA17" s="14">
        <f>IF($AA$11=0,"",H16+H17)</f>
        <v>0</v>
      </c>
      <c r="AB17" s="14">
        <f>IF($AB$11=0,"",J16+J17)</f>
        <v>0</v>
      </c>
      <c r="AC17" s="14">
        <f>IF($AC$11=0,"",L16+L17)</f>
        <v>0</v>
      </c>
    </row>
    <row r="18" spans="1:29">
      <c r="B18" s="25"/>
      <c r="C18" s="107" t="s">
        <v>37</v>
      </c>
      <c r="D18" s="152">
        <f>(('Alternativ 1'!$G$84+'Alternativ 1'!$G$85+'Alternativ 1'!$G$86))</f>
        <v>0</v>
      </c>
      <c r="E18" s="22">
        <f>IFERROR((D18-'Alternativ 1'!G85)/Q18,1)</f>
        <v>1</v>
      </c>
      <c r="F18" s="152">
        <f>(('Alternativ 2'!G84+'Alternativ 2'!G85+'Alternativ 2'!G86))</f>
        <v>0</v>
      </c>
      <c r="G18" s="22">
        <f>IF(Z11=0,"",IFERROR((D18-'Alternativ 2'!G85)/R18,1))</f>
        <v>1</v>
      </c>
      <c r="H18" s="152">
        <f>(('Alternativ 3'!G84+'Alternativ 3'!G85+'Alternativ 3'!G86))</f>
        <v>0</v>
      </c>
      <c r="I18" s="22">
        <f>IF(AA11=0,"",IFERROR((D18-'Alternativ 3'!G85)/S18,1))</f>
        <v>1</v>
      </c>
      <c r="J18" s="152">
        <f>(('Alternativ 4'!G84+'Alternativ 4'!G85+'Alternativ 4'!G86))</f>
        <v>0</v>
      </c>
      <c r="K18" s="22">
        <f>IF(AB11=0,"",IFERROR((D18-'Alternativ 4'!G85)/T18,1))</f>
        <v>1</v>
      </c>
      <c r="L18" s="152">
        <f>(('Alternativ 5'!G84+'Alternativ 5'!G85+'Alternativ 5'!G86))</f>
        <v>0</v>
      </c>
      <c r="M18" s="22">
        <f>IF(AC11=0,"",IFERROR((D18-'Alternativ 5'!G85)/U18,1))</f>
        <v>1</v>
      </c>
      <c r="N18" s="109"/>
      <c r="O18" s="109"/>
      <c r="Q18" s="208">
        <f>(('Alternativ 1'!$V$84+'Alternativ 1'!$V$86))</f>
        <v>0</v>
      </c>
      <c r="R18" s="208">
        <f>(('Alternativ 2'!$V$84+'Alternativ 2'!$V$86))</f>
        <v>0</v>
      </c>
      <c r="S18" s="208">
        <f>(('Alternativ 3'!$V$84+'Alternativ 3'!$V$86))</f>
        <v>0</v>
      </c>
      <c r="T18" s="208">
        <f>(('Alternativ 4'!$V$84+'Alternativ 4'!$V$86))</f>
        <v>0</v>
      </c>
      <c r="U18" s="208">
        <f>(('Alternativ 5'!$V$84+'Alternativ 5'!$V$86))</f>
        <v>0</v>
      </c>
      <c r="X18" s="13" t="s">
        <v>38</v>
      </c>
      <c r="Y18" s="14">
        <f>D18</f>
        <v>0</v>
      </c>
      <c r="Z18" s="14">
        <f>IF($Z$11=0,"",F18)</f>
        <v>0</v>
      </c>
      <c r="AA18" s="14">
        <f>IF($AA$11=0,"",H18)</f>
        <v>0</v>
      </c>
      <c r="AB18" s="14">
        <f>IF($AB$11=0,"",J18)</f>
        <v>0</v>
      </c>
      <c r="AC18" s="14">
        <f>IF($AC$11=0,"",L18)</f>
        <v>0</v>
      </c>
    </row>
    <row r="19" spans="1:29">
      <c r="B19" s="25"/>
      <c r="C19" s="107" t="s">
        <v>39</v>
      </c>
      <c r="D19" s="152">
        <f>('Alternativ 1'!$G$90)</f>
        <v>0</v>
      </c>
      <c r="E19" s="22">
        <f>'Alternativ 1'!H90</f>
        <v>1</v>
      </c>
      <c r="F19" s="152">
        <f>('Alternativ 2'!G90)</f>
        <v>0</v>
      </c>
      <c r="G19" s="22">
        <f>IF(Z11=0,"",'Alternativ 2'!H90)</f>
        <v>1</v>
      </c>
      <c r="H19" s="152">
        <f>('Alternativ 3'!G90)</f>
        <v>0</v>
      </c>
      <c r="I19" s="22">
        <f>IF(AA11=0,"",'Alternativ 3'!H90)</f>
        <v>1</v>
      </c>
      <c r="J19" s="152">
        <f>('Alternativ 4'!G90)</f>
        <v>0</v>
      </c>
      <c r="K19" s="22">
        <f>IF(AB11=0,"",'Alternativ 4'!H90)</f>
        <v>1</v>
      </c>
      <c r="L19" s="152">
        <f>('Alternativ 5'!G90)</f>
        <v>0</v>
      </c>
      <c r="M19" s="22">
        <f>IF(AC11=0,"",'Alternativ 5'!H90)</f>
        <v>1</v>
      </c>
      <c r="N19" s="109"/>
      <c r="O19" s="109"/>
      <c r="X19" s="13" t="s">
        <v>40</v>
      </c>
      <c r="Y19" s="14">
        <f>D19</f>
        <v>0</v>
      </c>
      <c r="Z19" s="14">
        <f>IF($Z$11=0,"",F19)</f>
        <v>0</v>
      </c>
      <c r="AA19" s="14">
        <f>IF($AA$11=0,"",H19)</f>
        <v>0</v>
      </c>
      <c r="AB19" s="14">
        <f>IF($AB$11=0,"",J19)</f>
        <v>0</v>
      </c>
      <c r="AC19" s="14">
        <f>IF($AC$11=0,"",L19)</f>
        <v>0</v>
      </c>
    </row>
    <row r="20" spans="1:29">
      <c r="B20" s="25"/>
      <c r="C20" s="107" t="s">
        <v>41</v>
      </c>
      <c r="D20" s="152">
        <f>('Alternativ 1'!$G$87+'Alternativ 1'!$G$88)</f>
        <v>0</v>
      </c>
      <c r="E20" s="211">
        <f>'Alternativ 1'!H87</f>
        <v>0</v>
      </c>
      <c r="F20" s="152">
        <f>('Alternativ 2'!G87+'Alternativ 2'!G88)</f>
        <v>0</v>
      </c>
      <c r="G20" s="211">
        <f>IF(Z11=0,"",'Alternativ 2'!H87)</f>
        <v>0</v>
      </c>
      <c r="H20" s="152">
        <f>('Alternativ 3'!G87+'Alternativ 3'!G88)</f>
        <v>0</v>
      </c>
      <c r="I20" s="211">
        <f>IF(AA11=0,"",'Alternativ 3'!H87)</f>
        <v>0</v>
      </c>
      <c r="J20" s="152">
        <f>('Alternativ 4'!G87+'Alternativ 4'!G88)</f>
        <v>0</v>
      </c>
      <c r="K20" s="211">
        <f>IF(AB11=0,"",'Alternativ 4'!H87)</f>
        <v>0</v>
      </c>
      <c r="L20" s="152">
        <f>('Alternativ 5'!G87+'Alternativ 5'!G88)</f>
        <v>0</v>
      </c>
      <c r="M20" s="211">
        <f>IF(AC11=0,"",'Alternativ 5'!H87)</f>
        <v>0</v>
      </c>
      <c r="N20" s="109"/>
      <c r="O20" s="109"/>
      <c r="X20" s="13" t="s">
        <v>42</v>
      </c>
      <c r="Y20" s="14">
        <f>D20</f>
        <v>0</v>
      </c>
      <c r="Z20" s="14">
        <f>IF($Z$11=0,"",F20)</f>
        <v>0</v>
      </c>
      <c r="AA20" s="14">
        <f>IF($AA$11=0,"",H20)</f>
        <v>0</v>
      </c>
      <c r="AB20" s="14">
        <f>IF($AB$11=0,"",J20)</f>
        <v>0</v>
      </c>
      <c r="AC20" s="14">
        <f>IF($AC$11=0,"",L20)</f>
        <v>0</v>
      </c>
    </row>
    <row r="21" spans="1:29">
      <c r="B21" s="25"/>
      <c r="C21" s="107" t="s">
        <v>43</v>
      </c>
      <c r="D21" s="152">
        <f>('Alternativ 1'!$G$91)</f>
        <v>0</v>
      </c>
      <c r="E21" s="22">
        <f>'Alternativ 1'!H91</f>
        <v>1</v>
      </c>
      <c r="F21" s="152">
        <f>('Alternativ 2'!G91)</f>
        <v>0</v>
      </c>
      <c r="G21" s="22">
        <f>IF(Z11=0,"",'Alternativ 2'!H91)</f>
        <v>1</v>
      </c>
      <c r="H21" s="152">
        <f>('Alternativ 3'!G91)</f>
        <v>0</v>
      </c>
      <c r="I21" s="22">
        <f>IF(AA11=0,"",'Alternativ 3'!H91)</f>
        <v>1</v>
      </c>
      <c r="J21" s="152">
        <f>('Alternativ 4'!G91)</f>
        <v>0</v>
      </c>
      <c r="K21" s="22">
        <f>IF(AB11=0,"",'Alternativ 4'!H91)</f>
        <v>1</v>
      </c>
      <c r="L21" s="152">
        <f>('Alternativ 5'!G91)</f>
        <v>0</v>
      </c>
      <c r="M21" s="22">
        <f>IF(AC11=0,"",'Alternativ 5'!H91)</f>
        <v>1</v>
      </c>
      <c r="N21" s="109"/>
      <c r="O21" s="109"/>
      <c r="X21" s="9" t="s">
        <v>44</v>
      </c>
      <c r="Y21" s="14">
        <f>D21</f>
        <v>0</v>
      </c>
      <c r="Z21" s="14">
        <f>IF($Z$11=0,"",F21)</f>
        <v>0</v>
      </c>
      <c r="AA21" s="14">
        <f>IF($AA$11=0,"",H21)</f>
        <v>0</v>
      </c>
      <c r="AB21" s="14">
        <f>IF($AB$11=0,"",J21)</f>
        <v>0</v>
      </c>
      <c r="AC21" s="14">
        <f>IF($AC$11=0,"",L21)</f>
        <v>0</v>
      </c>
    </row>
    <row r="22" spans="1:29">
      <c r="B22" s="25"/>
      <c r="C22" s="205" t="str">
        <f>"Sum, A1-C4, tonn CO2 ekv over "&amp;'Generelt om prosjektet'!C24&amp;" år"</f>
        <v>Sum, A1-C4, tonn CO2 ekv over 50 år</v>
      </c>
      <c r="D22" s="201">
        <f>SUM(D15:D21)</f>
        <v>0</v>
      </c>
      <c r="E22" s="206">
        <f>'Alternativ 1'!$H$93</f>
        <v>0</v>
      </c>
      <c r="F22" s="201">
        <f>SUM(F15:F21)</f>
        <v>0</v>
      </c>
      <c r="G22" s="206">
        <f>'Alternativ 2'!$H$93</f>
        <v>0</v>
      </c>
      <c r="H22" s="201">
        <f>SUM(H15:H21)</f>
        <v>0</v>
      </c>
      <c r="I22" s="206">
        <f>'Alternativ 3'!$H$93</f>
        <v>0</v>
      </c>
      <c r="J22" s="201">
        <f>SUM(J15:J21)</f>
        <v>0</v>
      </c>
      <c r="K22" s="206">
        <f>'Alternativ 4'!$H$93</f>
        <v>0</v>
      </c>
      <c r="L22" s="201">
        <f>SUM(L15:L21)</f>
        <v>0</v>
      </c>
      <c r="M22" s="206">
        <f>'Alternativ 5'!$H$93</f>
        <v>0</v>
      </c>
      <c r="N22" s="109"/>
      <c r="O22" s="109"/>
      <c r="Y22" s="208" t="b">
        <f>SUM(Y16:Y21)=D22</f>
        <v>1</v>
      </c>
      <c r="Z22" s="208" t="b">
        <f>SUM(Z16:Z21)=F22</f>
        <v>1</v>
      </c>
      <c r="AA22" s="208" t="b">
        <f>SUM(AA16:AA21)=H22</f>
        <v>1</v>
      </c>
      <c r="AB22" s="208" t="b">
        <f>SUM(AB16:AB21)=J22</f>
        <v>1</v>
      </c>
      <c r="AC22" s="208" t="b">
        <f>SUM(AC16:AC21)=L22</f>
        <v>1</v>
      </c>
    </row>
    <row r="23" spans="1:29">
      <c r="B23" s="25"/>
      <c r="C23" s="141"/>
      <c r="D23" s="109"/>
      <c r="E23" s="109"/>
      <c r="F23" s="109"/>
      <c r="G23" s="109"/>
      <c r="H23" s="109"/>
      <c r="I23" s="109"/>
      <c r="J23" s="109"/>
      <c r="K23" s="109"/>
      <c r="L23" s="109"/>
      <c r="M23" s="109"/>
      <c r="N23" s="109"/>
      <c r="O23" s="279"/>
    </row>
    <row r="24" spans="1:29">
      <c r="B24" s="25"/>
      <c r="C24" s="107" t="s">
        <v>45</v>
      </c>
      <c r="D24" s="298">
        <f>'Alternativ 1'!G98</f>
        <v>0</v>
      </c>
      <c r="E24" s="299"/>
      <c r="F24" s="298">
        <f>'Alternativ 2'!G98</f>
        <v>0</v>
      </c>
      <c r="G24" s="299"/>
      <c r="H24" s="298">
        <f>'Alternativ 3'!G98</f>
        <v>0</v>
      </c>
      <c r="I24" s="299"/>
      <c r="J24" s="298">
        <f>'Alternativ 4'!G98</f>
        <v>0</v>
      </c>
      <c r="K24" s="299"/>
      <c r="L24" s="298">
        <f>'Alternativ 5'!G98</f>
        <v>0</v>
      </c>
      <c r="M24" s="299"/>
      <c r="N24" s="109"/>
      <c r="O24" s="279"/>
    </row>
    <row r="25" spans="1:29" ht="14.1">
      <c r="B25" s="25"/>
      <c r="C25" s="107" t="s">
        <v>46</v>
      </c>
      <c r="D25" s="291">
        <f ca="1">'Alternativ 1'!G99</f>
        <v>0</v>
      </c>
      <c r="E25" s="297"/>
      <c r="F25" s="291">
        <f ca="1">'Alternativ 2'!G99</f>
        <v>0</v>
      </c>
      <c r="G25" s="297"/>
      <c r="H25" s="291">
        <f ca="1">'Alternativ 3'!G99</f>
        <v>0</v>
      </c>
      <c r="I25" s="297"/>
      <c r="J25" s="291">
        <f ca="1">'Alternativ 4'!G99</f>
        <v>0</v>
      </c>
      <c r="K25" s="297"/>
      <c r="L25" s="291">
        <f ca="1">'Alternativ 5'!G99</f>
        <v>0</v>
      </c>
      <c r="M25" s="297"/>
      <c r="N25" s="271"/>
      <c r="O25" s="109"/>
      <c r="X25" s="5" t="str">
        <f>"Resultat, kg CO2 ekv, "&amp;'Generelt om prosjektet'!C24&amp;" år, pr m2 oppvarmet BRA"</f>
        <v>Resultat, kg CO2 ekv, 50 år, pr m2 oppvarmet BRA</v>
      </c>
    </row>
    <row r="26" spans="1:29">
      <c r="B26" s="25"/>
      <c r="C26" s="207"/>
      <c r="D26" s="207"/>
      <c r="E26" s="207"/>
      <c r="F26" s="207"/>
      <c r="G26" s="207"/>
      <c r="H26" s="207"/>
      <c r="I26" s="207"/>
      <c r="J26" s="207"/>
      <c r="K26" s="207"/>
      <c r="L26" s="109"/>
      <c r="M26" s="109"/>
      <c r="N26" s="109"/>
      <c r="O26" s="109"/>
      <c r="X26" s="9"/>
      <c r="Y26" s="9" t="s">
        <v>21</v>
      </c>
      <c r="Z26" s="9" t="str">
        <f>IF($Z$11=0,"","Alternativ 2")</f>
        <v>Alternativ 2</v>
      </c>
      <c r="AA26" s="9" t="str">
        <f>IF($AA$11=0,"","Alternativ 3")</f>
        <v>Alternativ 3</v>
      </c>
      <c r="AB26" s="9" t="str">
        <f>IF($AB$11=0,"","Alternativ 4")</f>
        <v>Alternativ 4</v>
      </c>
      <c r="AC26" s="9" t="str">
        <f>IF($AC$11=0,"","Alternativ 5")</f>
        <v>Alternativ 5</v>
      </c>
    </row>
    <row r="27" spans="1:29">
      <c r="B27" s="25"/>
      <c r="C27" s="203" t="s">
        <v>47</v>
      </c>
      <c r="D27" s="287" t="s">
        <v>21</v>
      </c>
      <c r="E27" s="287"/>
      <c r="F27" s="288" t="s">
        <v>22</v>
      </c>
      <c r="G27" s="288"/>
      <c r="H27" s="289" t="s">
        <v>23</v>
      </c>
      <c r="I27" s="289"/>
      <c r="J27" s="290" t="s">
        <v>24</v>
      </c>
      <c r="K27" s="290"/>
      <c r="L27" s="292" t="s">
        <v>25</v>
      </c>
      <c r="M27" s="292"/>
      <c r="N27" s="109"/>
      <c r="O27" s="109"/>
      <c r="X27" s="13" t="str">
        <f t="shared" ref="X27:X32" si="0">X16</f>
        <v>Riving (eksisterende bygg)</v>
      </c>
      <c r="Y27" s="278">
        <f>IFERROR(Y16*1000/$D$41,0)</f>
        <v>0</v>
      </c>
      <c r="Z27" s="278">
        <f>IFERROR(Z16*1000/$F$41,0)</f>
        <v>0</v>
      </c>
      <c r="AA27" s="278">
        <f>IFERROR(AA16*1000/$H$41,0)</f>
        <v>0</v>
      </c>
      <c r="AB27" s="278">
        <f>IFERROR(AB16*1000/$J$41,0)</f>
        <v>0</v>
      </c>
      <c r="AC27" s="278">
        <f>IFERROR(AC16*1000/$L$41,0)</f>
        <v>0</v>
      </c>
    </row>
    <row r="28" spans="1:29">
      <c r="B28" s="294"/>
      <c r="C28" s="107" t="s">
        <v>48</v>
      </c>
      <c r="D28" s="295">
        <f>IFERROR(D22*1000/E41,0)</f>
        <v>0</v>
      </c>
      <c r="E28" s="295"/>
      <c r="F28" s="295">
        <f>IFERROR(F22*1000/G41,0)</f>
        <v>0</v>
      </c>
      <c r="G28" s="295"/>
      <c r="H28" s="295">
        <f>IFERROR(H22*1000/I41,0)</f>
        <v>0</v>
      </c>
      <c r="I28" s="295"/>
      <c r="J28" s="295">
        <f>IFERROR(J22*1000/K41,0)</f>
        <v>0</v>
      </c>
      <c r="K28" s="295"/>
      <c r="L28" s="295">
        <f>IFERROR(L22*1000/M41,0)</f>
        <v>0</v>
      </c>
      <c r="M28" s="295"/>
      <c r="N28" s="109"/>
      <c r="O28" s="109"/>
      <c r="X28" s="13" t="str">
        <f t="shared" si="0"/>
        <v>Materialer (produksjon, transport, utskifting)</v>
      </c>
      <c r="Y28" s="278">
        <f t="shared" ref="Y28:Y32" si="1">IFERROR(Y17*1000/$D$41,0)</f>
        <v>0</v>
      </c>
      <c r="Z28" s="278">
        <f t="shared" ref="Z28:Z32" si="2">IFERROR(Z17*1000/$F$41,0)</f>
        <v>0</v>
      </c>
      <c r="AA28" s="278">
        <f t="shared" ref="AA28:AA32" si="3">IFERROR(AA17*1000/$H$41,0)</f>
        <v>0</v>
      </c>
      <c r="AB28" s="278">
        <f t="shared" ref="AB28:AB32" si="4">IFERROR(AB17*1000/$J$41,0)</f>
        <v>0</v>
      </c>
      <c r="AC28" s="278">
        <f t="shared" ref="AC28:AC32" si="5">IFERROR(AC17*1000/$L$41,0)</f>
        <v>0</v>
      </c>
    </row>
    <row r="29" spans="1:29">
      <c r="B29" s="294"/>
      <c r="C29" s="107" t="s">
        <v>49</v>
      </c>
      <c r="D29" s="291">
        <f>IFERROR(D22*1000/D41,0)</f>
        <v>0</v>
      </c>
      <c r="E29" s="291"/>
      <c r="F29" s="291">
        <f>IFERROR(F22*1000/F41,0)</f>
        <v>0</v>
      </c>
      <c r="G29" s="291"/>
      <c r="H29" s="291">
        <f>IFERROR(H22*1000/H41,0)</f>
        <v>0</v>
      </c>
      <c r="I29" s="291"/>
      <c r="J29" s="291">
        <f>IFERROR(J22*1000/J41,0)</f>
        <v>0</v>
      </c>
      <c r="K29" s="291"/>
      <c r="L29" s="291">
        <f>IFERROR(L22*1000/L41,0)</f>
        <v>0</v>
      </c>
      <c r="M29" s="291"/>
      <c r="N29" s="109"/>
      <c r="O29" s="109"/>
      <c r="X29" s="13" t="str">
        <f t="shared" si="0"/>
        <v>Byggeplass (kapp, svinn, avfall, energi og massetransport)</v>
      </c>
      <c r="Y29" s="278">
        <f t="shared" si="1"/>
        <v>0</v>
      </c>
      <c r="Z29" s="278">
        <f t="shared" si="2"/>
        <v>0</v>
      </c>
      <c r="AA29" s="278">
        <f t="shared" si="3"/>
        <v>0</v>
      </c>
      <c r="AB29" s="278">
        <f t="shared" si="4"/>
        <v>0</v>
      </c>
      <c r="AC29" s="278">
        <f t="shared" si="5"/>
        <v>0</v>
      </c>
    </row>
    <row r="30" spans="1:29">
      <c r="B30" s="25"/>
      <c r="C30" s="107" t="s">
        <v>50</v>
      </c>
      <c r="D30" s="291">
        <f ca="1">IFERROR(D22/'Alternativ 1'!$AI$58,0)</f>
        <v>0</v>
      </c>
      <c r="E30" s="291"/>
      <c r="F30" s="291">
        <f>IFERROR(F22/'Alternativ 2'!AK58,0)</f>
        <v>0</v>
      </c>
      <c r="G30" s="291"/>
      <c r="H30" s="291">
        <f>IFERROR(H22/'Alternativ 3'!AM58,0)</f>
        <v>0</v>
      </c>
      <c r="I30" s="291"/>
      <c r="J30" s="291">
        <f>IFERROR(J22/'Alternativ 4'!AO58,0)</f>
        <v>0</v>
      </c>
      <c r="K30" s="291"/>
      <c r="L30" s="291">
        <f>IFERROR(L22/'Alternativ 5'!AQ58,0)</f>
        <v>0</v>
      </c>
      <c r="M30" s="291"/>
      <c r="N30" s="109"/>
      <c r="O30" s="109"/>
      <c r="X30" s="13" t="str">
        <f t="shared" si="0"/>
        <v>Energibruk i drift</v>
      </c>
      <c r="Y30" s="278">
        <f t="shared" si="1"/>
        <v>0</v>
      </c>
      <c r="Z30" s="278">
        <f t="shared" si="2"/>
        <v>0</v>
      </c>
      <c r="AA30" s="278">
        <f t="shared" si="3"/>
        <v>0</v>
      </c>
      <c r="AB30" s="278">
        <f t="shared" si="4"/>
        <v>0</v>
      </c>
      <c r="AC30" s="278">
        <f t="shared" si="5"/>
        <v>0</v>
      </c>
    </row>
    <row r="31" spans="1:29" ht="29.25" customHeight="1">
      <c r="B31" s="25"/>
      <c r="C31" s="111" t="s">
        <v>51</v>
      </c>
      <c r="D31" s="286" t="str">
        <f ca="1">'Alternativ 1'!$AI$57</f>
        <v/>
      </c>
      <c r="E31" s="286"/>
      <c r="F31" s="286" t="str">
        <f ca="1">'Alternativ 2'!AI57</f>
        <v/>
      </c>
      <c r="G31" s="286"/>
      <c r="H31" s="286" t="str">
        <f ca="1">'Alternativ 3'!AI57</f>
        <v/>
      </c>
      <c r="I31" s="286"/>
      <c r="J31" s="286" t="str">
        <f ca="1">'Alternativ 4'!AI57</f>
        <v/>
      </c>
      <c r="K31" s="286"/>
      <c r="L31" s="286" t="str">
        <f ca="1">'Alternativ 5'!AI57</f>
        <v/>
      </c>
      <c r="M31" s="286"/>
      <c r="N31" s="109"/>
      <c r="O31" s="109"/>
      <c r="X31" s="13" t="str">
        <f t="shared" si="0"/>
        <v>Arealbruksendring (nedbygging og nyetablering)</v>
      </c>
      <c r="Y31" s="278">
        <f t="shared" si="1"/>
        <v>0</v>
      </c>
      <c r="Z31" s="278">
        <f t="shared" si="2"/>
        <v>0</v>
      </c>
      <c r="AA31" s="278">
        <f t="shared" si="3"/>
        <v>0</v>
      </c>
      <c r="AB31" s="278">
        <f t="shared" si="4"/>
        <v>0</v>
      </c>
      <c r="AC31" s="278">
        <f t="shared" si="5"/>
        <v>0</v>
      </c>
    </row>
    <row r="32" spans="1:29">
      <c r="B32" s="25"/>
      <c r="C32" s="109"/>
      <c r="D32" s="109"/>
      <c r="E32" s="109"/>
      <c r="F32" s="109"/>
      <c r="G32" s="109"/>
      <c r="H32" s="109"/>
      <c r="I32" s="109"/>
      <c r="J32" s="109"/>
      <c r="K32" s="109"/>
      <c r="L32" s="109"/>
      <c r="M32" s="109"/>
      <c r="N32" s="109"/>
      <c r="O32" s="109"/>
      <c r="X32" s="13" t="str">
        <f t="shared" si="0"/>
        <v>Riving (bygg i fremtiden)</v>
      </c>
      <c r="Y32" s="278">
        <f t="shared" si="1"/>
        <v>0</v>
      </c>
      <c r="Z32" s="278">
        <f t="shared" si="2"/>
        <v>0</v>
      </c>
      <c r="AA32" s="278">
        <f t="shared" si="3"/>
        <v>0</v>
      </c>
      <c r="AB32" s="278">
        <f t="shared" si="4"/>
        <v>0</v>
      </c>
      <c r="AC32" s="278">
        <f t="shared" si="5"/>
        <v>0</v>
      </c>
    </row>
    <row r="33" spans="2:29">
      <c r="B33" s="25"/>
      <c r="C33" s="25"/>
      <c r="D33" s="109"/>
      <c r="E33" s="109"/>
      <c r="F33" s="109"/>
      <c r="G33" s="109"/>
      <c r="H33" s="109"/>
      <c r="I33" s="109"/>
      <c r="J33" s="109"/>
      <c r="K33" s="109"/>
      <c r="L33" s="109"/>
      <c r="M33" s="109"/>
      <c r="N33" s="109"/>
      <c r="O33" s="109"/>
    </row>
    <row r="34" spans="2:29">
      <c r="B34" s="25"/>
      <c r="C34" s="172" t="s">
        <v>52</v>
      </c>
      <c r="D34" s="287" t="s">
        <v>21</v>
      </c>
      <c r="E34" s="287"/>
      <c r="F34" s="288" t="s">
        <v>22</v>
      </c>
      <c r="G34" s="288"/>
      <c r="H34" s="289" t="s">
        <v>23</v>
      </c>
      <c r="I34" s="289"/>
      <c r="J34" s="290" t="s">
        <v>24</v>
      </c>
      <c r="K34" s="290"/>
      <c r="L34" s="292" t="s">
        <v>25</v>
      </c>
      <c r="M34" s="292"/>
      <c r="N34" s="109"/>
      <c r="O34" s="109"/>
    </row>
    <row r="35" spans="2:29">
      <c r="B35" s="25"/>
      <c r="C35" s="203" t="s">
        <v>53</v>
      </c>
      <c r="D35" s="145" t="s">
        <v>54</v>
      </c>
      <c r="E35" s="145" t="s">
        <v>55</v>
      </c>
      <c r="F35" s="145" t="s">
        <v>54</v>
      </c>
      <c r="G35" s="145" t="s">
        <v>55</v>
      </c>
      <c r="H35" s="145" t="s">
        <v>54</v>
      </c>
      <c r="I35" s="145" t="s">
        <v>55</v>
      </c>
      <c r="J35" s="145" t="s">
        <v>54</v>
      </c>
      <c r="K35" s="145" t="s">
        <v>55</v>
      </c>
      <c r="L35" s="145" t="s">
        <v>54</v>
      </c>
      <c r="M35" s="145" t="s">
        <v>55</v>
      </c>
      <c r="N35" s="109"/>
      <c r="O35" s="109"/>
    </row>
    <row r="36" spans="2:29">
      <c r="B36" s="25"/>
      <c r="C36" s="107" t="s">
        <v>56</v>
      </c>
      <c r="D36" s="152">
        <f>'Alternativ 1'!$AB$5</f>
        <v>0</v>
      </c>
      <c r="E36" s="152">
        <f>'Alternativ 1'!$AC$5</f>
        <v>0</v>
      </c>
      <c r="F36" s="152">
        <f>'Alternativ 2'!$AB$5</f>
        <v>0</v>
      </c>
      <c r="G36" s="152">
        <f>'Alternativ 2'!$AC$5</f>
        <v>0</v>
      </c>
      <c r="H36" s="152">
        <f>'Alternativ 3'!$AB$5</f>
        <v>0</v>
      </c>
      <c r="I36" s="152">
        <f>'Alternativ 3'!$AC$5</f>
        <v>0</v>
      </c>
      <c r="J36" s="152">
        <f>'Alternativ 4'!$AB$5</f>
        <v>0</v>
      </c>
      <c r="K36" s="152">
        <f>'Alternativ 4'!$AC$5</f>
        <v>0</v>
      </c>
      <c r="L36" s="152">
        <f>'Alternativ 5'!$AB$5</f>
        <v>0</v>
      </c>
      <c r="M36" s="152">
        <f>'Alternativ 5'!$AC$5</f>
        <v>0</v>
      </c>
      <c r="N36" s="109"/>
      <c r="O36" s="109"/>
    </row>
    <row r="37" spans="2:29">
      <c r="B37" s="25"/>
      <c r="C37" s="107" t="s">
        <v>57</v>
      </c>
      <c r="D37" s="152">
        <f>'Alternativ 1'!$AB$6</f>
        <v>0</v>
      </c>
      <c r="E37" s="152">
        <f>'Alternativ 1'!$AC$6</f>
        <v>0</v>
      </c>
      <c r="F37" s="152">
        <f>'Alternativ 2'!$AB$6</f>
        <v>0</v>
      </c>
      <c r="G37" s="152">
        <f>'Alternativ 2'!$AC$6</f>
        <v>0</v>
      </c>
      <c r="H37" s="152">
        <f>'Alternativ 3'!$AB$6</f>
        <v>0</v>
      </c>
      <c r="I37" s="152">
        <f>'Alternativ 3'!$AC$6</f>
        <v>0</v>
      </c>
      <c r="J37" s="152">
        <f>'Alternativ 4'!$AB$6</f>
        <v>0</v>
      </c>
      <c r="K37" s="152">
        <f>'Alternativ 4'!$AC$6</f>
        <v>0</v>
      </c>
      <c r="L37" s="152">
        <f>'Alternativ 5'!$AB$6</f>
        <v>0</v>
      </c>
      <c r="M37" s="152">
        <f>'Alternativ 5'!$AC$6</f>
        <v>0</v>
      </c>
      <c r="N37" s="109"/>
      <c r="O37" s="109"/>
    </row>
    <row r="38" spans="2:29">
      <c r="B38" s="25"/>
      <c r="C38" s="107" t="s">
        <v>58</v>
      </c>
      <c r="D38" s="152">
        <f>'Alternativ 1'!$AB$7</f>
        <v>0</v>
      </c>
      <c r="E38" s="152">
        <f>'Alternativ 1'!$AC$7</f>
        <v>0</v>
      </c>
      <c r="F38" s="152">
        <f>'Alternativ 2'!$AB$7</f>
        <v>0</v>
      </c>
      <c r="G38" s="152">
        <f>'Alternativ 2'!$AC$7</f>
        <v>0</v>
      </c>
      <c r="H38" s="152">
        <f>'Alternativ 3'!$AB$7</f>
        <v>0</v>
      </c>
      <c r="I38" s="152">
        <f>'Alternativ 3'!$AC$7</f>
        <v>0</v>
      </c>
      <c r="J38" s="152">
        <f>'Alternativ 4'!$AB$7</f>
        <v>0</v>
      </c>
      <c r="K38" s="152">
        <f>'Alternativ 4'!$AC$7</f>
        <v>0</v>
      </c>
      <c r="L38" s="152">
        <f>'Alternativ 5'!$AB$7</f>
        <v>0</v>
      </c>
      <c r="M38" s="152">
        <f>'Alternativ 5'!$AC$7</f>
        <v>0</v>
      </c>
      <c r="N38" s="109"/>
      <c r="O38" s="109"/>
    </row>
    <row r="39" spans="2:29">
      <c r="B39" s="25"/>
      <c r="C39" s="107" t="s">
        <v>59</v>
      </c>
      <c r="D39" s="152">
        <f>'Alternativ 1'!$AB$8</f>
        <v>0</v>
      </c>
      <c r="E39" s="152">
        <f>'Alternativ 1'!$AC$8</f>
        <v>0</v>
      </c>
      <c r="F39" s="152">
        <f>'Alternativ 2'!$AB$8</f>
        <v>0</v>
      </c>
      <c r="G39" s="152">
        <f>'Alternativ 2'!$AC$8</f>
        <v>0</v>
      </c>
      <c r="H39" s="152">
        <f>'Alternativ 3'!$AB$8</f>
        <v>0</v>
      </c>
      <c r="I39" s="152">
        <f>'Alternativ 3'!$AC$8</f>
        <v>0</v>
      </c>
      <c r="J39" s="152">
        <f>'Alternativ 4'!$AB$8</f>
        <v>0</v>
      </c>
      <c r="K39" s="152">
        <f>'Alternativ 4'!$AC$8</f>
        <v>0</v>
      </c>
      <c r="L39" s="152">
        <f>'Alternativ 5'!$AB$8</f>
        <v>0</v>
      </c>
      <c r="M39" s="152">
        <f>'Alternativ 5'!$AC$8</f>
        <v>0</v>
      </c>
      <c r="N39" s="109"/>
      <c r="O39" s="109"/>
    </row>
    <row r="40" spans="2:29">
      <c r="B40" s="25"/>
      <c r="C40" s="107" t="s">
        <v>60</v>
      </c>
      <c r="D40" s="152"/>
      <c r="E40" s="152">
        <f>'Alternativ 1'!$AC$9</f>
        <v>0</v>
      </c>
      <c r="F40" s="152"/>
      <c r="G40" s="152">
        <f>'Alternativ 2'!$AC$9</f>
        <v>0</v>
      </c>
      <c r="H40" s="152"/>
      <c r="I40" s="152">
        <f>'Alternativ 3'!$AC$9</f>
        <v>0</v>
      </c>
      <c r="J40" s="152"/>
      <c r="K40" s="152">
        <f>'Alternativ 4'!$AC$9</f>
        <v>0</v>
      </c>
      <c r="L40" s="152"/>
      <c r="M40" s="152">
        <f>'Alternativ 5'!$AC$9</f>
        <v>0</v>
      </c>
      <c r="N40" s="109"/>
      <c r="O40" s="109"/>
    </row>
    <row r="41" spans="2:29">
      <c r="B41" s="25"/>
      <c r="C41" s="205" t="s">
        <v>61</v>
      </c>
      <c r="D41" s="201">
        <f>SUM(D36:D39)</f>
        <v>0</v>
      </c>
      <c r="E41" s="201">
        <f>SUM(E36:E40)</f>
        <v>0</v>
      </c>
      <c r="F41" s="202">
        <f>SUM(F36:F39)</f>
        <v>0</v>
      </c>
      <c r="G41" s="201">
        <f>SUM(G36:G40)</f>
        <v>0</v>
      </c>
      <c r="H41" s="201">
        <f>SUM(H36:H39)</f>
        <v>0</v>
      </c>
      <c r="I41" s="201">
        <f>SUM(I36:I40)</f>
        <v>0</v>
      </c>
      <c r="J41" s="201">
        <f>SUM(J36:J39)</f>
        <v>0</v>
      </c>
      <c r="K41" s="201">
        <f>SUM(K36:K40)</f>
        <v>0</v>
      </c>
      <c r="L41" s="201">
        <f>SUM(L36:L39)</f>
        <v>0</v>
      </c>
      <c r="M41" s="201">
        <f>SUM(M36:M40)</f>
        <v>0</v>
      </c>
      <c r="N41" s="25"/>
      <c r="O41" s="25"/>
    </row>
    <row r="42" spans="2:29" ht="14.1">
      <c r="B42" s="25"/>
      <c r="C42" s="68"/>
      <c r="D42" s="25"/>
      <c r="E42" s="25"/>
      <c r="F42" s="25"/>
      <c r="G42" s="25"/>
      <c r="H42" s="25"/>
      <c r="I42" s="25"/>
      <c r="J42" s="25"/>
      <c r="K42" s="25"/>
      <c r="L42" s="25"/>
      <c r="M42" s="25"/>
      <c r="N42" s="25"/>
      <c r="O42" s="25"/>
      <c r="X42" s="5" t="str">
        <f>"Resultat, tonn CO2 ekv, "&amp;'Generelt om prosjektet'!C24&amp;" år, pr bruker"</f>
        <v>Resultat, tonn CO2 ekv, 50 år, pr bruker</v>
      </c>
      <c r="Y42" s="277">
        <f ca="1">'Alternativ 1'!$AI$58</f>
        <v>0</v>
      </c>
      <c r="Z42" s="277">
        <f ca="1">'Alternativ 2'!$AI$58</f>
        <v>0</v>
      </c>
      <c r="AA42" s="277">
        <f ca="1">'Alternativ 3'!$AI$58</f>
        <v>0</v>
      </c>
      <c r="AB42" s="277">
        <f ca="1">'Alternativ 4'!$AI$58</f>
        <v>0</v>
      </c>
      <c r="AC42" s="277">
        <f ca="1">'Alternativ 5'!$AI$58</f>
        <v>0</v>
      </c>
    </row>
    <row r="43" spans="2:29" ht="22.2">
      <c r="B43" s="25"/>
      <c r="C43" s="272" t="s">
        <v>62</v>
      </c>
      <c r="D43" s="25"/>
      <c r="E43" s="25"/>
      <c r="F43" s="25"/>
      <c r="G43" s="25"/>
      <c r="H43" s="25"/>
      <c r="I43" s="25"/>
      <c r="J43" s="25"/>
      <c r="K43" s="25"/>
      <c r="L43" s="25"/>
      <c r="M43" s="25"/>
      <c r="N43" s="25"/>
      <c r="O43" s="25"/>
      <c r="X43" s="9"/>
      <c r="Y43" s="9" t="s">
        <v>21</v>
      </c>
      <c r="Z43" s="9" t="str">
        <f>IF($Z$11=0,"","Alternativ 2")</f>
        <v>Alternativ 2</v>
      </c>
      <c r="AA43" s="9" t="str">
        <f>IF($AA$11=0,"","Alternativ 3")</f>
        <v>Alternativ 3</v>
      </c>
      <c r="AB43" s="9" t="str">
        <f>IF($AB$11=0,"","Alternativ 4")</f>
        <v>Alternativ 4</v>
      </c>
      <c r="AC43" s="9" t="str">
        <f>IF($AC$11=0,"","Alternativ 5")</f>
        <v>Alternativ 5</v>
      </c>
    </row>
    <row r="44" spans="2:29">
      <c r="B44" s="16"/>
      <c r="D44" s="17"/>
      <c r="E44" s="17"/>
      <c r="F44" s="17"/>
      <c r="G44" s="17"/>
      <c r="H44" s="17"/>
      <c r="I44" s="17"/>
      <c r="J44" s="17"/>
      <c r="K44" s="17"/>
      <c r="X44" s="13" t="str">
        <f t="shared" ref="X44:X49" si="6">X16</f>
        <v>Riving (eksisterende bygg)</v>
      </c>
      <c r="Y44" s="266">
        <f ca="1">IFERROR(Y16/Y$42,0)</f>
        <v>0</v>
      </c>
      <c r="Z44" s="266">
        <f t="shared" ref="Z44:AC44" ca="1" si="7">IFERROR(Z16/Z$42,0)</f>
        <v>0</v>
      </c>
      <c r="AA44" s="266">
        <f t="shared" ca="1" si="7"/>
        <v>0</v>
      </c>
      <c r="AB44" s="266">
        <f t="shared" ca="1" si="7"/>
        <v>0</v>
      </c>
      <c r="AC44" s="266">
        <f t="shared" ca="1" si="7"/>
        <v>0</v>
      </c>
    </row>
    <row r="45" spans="2:29">
      <c r="B45" s="16"/>
      <c r="D45" s="17"/>
      <c r="E45" s="17"/>
      <c r="F45" s="17"/>
      <c r="G45" s="17"/>
      <c r="H45" s="17"/>
      <c r="I45" s="17"/>
      <c r="J45" s="17"/>
      <c r="K45" s="17"/>
      <c r="X45" s="13" t="str">
        <f t="shared" si="6"/>
        <v>Materialer (produksjon, transport, utskifting)</v>
      </c>
      <c r="Y45" s="266">
        <f t="shared" ref="Y45:AC49" ca="1" si="8">IFERROR(Y17/Y$42,0)</f>
        <v>0</v>
      </c>
      <c r="Z45" s="266">
        <f t="shared" ca="1" si="8"/>
        <v>0</v>
      </c>
      <c r="AA45" s="266">
        <f t="shared" ca="1" si="8"/>
        <v>0</v>
      </c>
      <c r="AB45" s="266">
        <f t="shared" ca="1" si="8"/>
        <v>0</v>
      </c>
      <c r="AC45" s="266">
        <f t="shared" ca="1" si="8"/>
        <v>0</v>
      </c>
    </row>
    <row r="46" spans="2:29">
      <c r="X46" s="13" t="str">
        <f t="shared" si="6"/>
        <v>Byggeplass (kapp, svinn, avfall, energi og massetransport)</v>
      </c>
      <c r="Y46" s="266">
        <f t="shared" ca="1" si="8"/>
        <v>0</v>
      </c>
      <c r="Z46" s="266">
        <f t="shared" ca="1" si="8"/>
        <v>0</v>
      </c>
      <c r="AA46" s="266">
        <f t="shared" ca="1" si="8"/>
        <v>0</v>
      </c>
      <c r="AB46" s="266">
        <f t="shared" ca="1" si="8"/>
        <v>0</v>
      </c>
      <c r="AC46" s="266">
        <f t="shared" ca="1" si="8"/>
        <v>0</v>
      </c>
    </row>
    <row r="47" spans="2:29">
      <c r="X47" s="13" t="str">
        <f t="shared" si="6"/>
        <v>Energibruk i drift</v>
      </c>
      <c r="Y47" s="266">
        <f t="shared" ca="1" si="8"/>
        <v>0</v>
      </c>
      <c r="Z47" s="266">
        <f t="shared" ca="1" si="8"/>
        <v>0</v>
      </c>
      <c r="AA47" s="266">
        <f t="shared" ca="1" si="8"/>
        <v>0</v>
      </c>
      <c r="AB47" s="266">
        <f t="shared" ca="1" si="8"/>
        <v>0</v>
      </c>
      <c r="AC47" s="266">
        <f t="shared" ca="1" si="8"/>
        <v>0</v>
      </c>
    </row>
    <row r="48" spans="2:29">
      <c r="B48" s="16"/>
      <c r="D48" s="17"/>
      <c r="E48" s="17"/>
      <c r="F48" s="17"/>
      <c r="G48" s="17"/>
      <c r="H48" s="17"/>
      <c r="I48" s="17"/>
      <c r="J48" s="17"/>
      <c r="K48" s="17"/>
      <c r="X48" s="13" t="str">
        <f t="shared" si="6"/>
        <v>Arealbruksendring (nedbygging og nyetablering)</v>
      </c>
      <c r="Y48" s="266">
        <f t="shared" ca="1" si="8"/>
        <v>0</v>
      </c>
      <c r="Z48" s="266">
        <f t="shared" ca="1" si="8"/>
        <v>0</v>
      </c>
      <c r="AA48" s="266">
        <f t="shared" ca="1" si="8"/>
        <v>0</v>
      </c>
      <c r="AB48" s="266">
        <f t="shared" ca="1" si="8"/>
        <v>0</v>
      </c>
      <c r="AC48" s="266">
        <f t="shared" ca="1" si="8"/>
        <v>0</v>
      </c>
    </row>
    <row r="49" spans="1:29">
      <c r="B49" s="16"/>
      <c r="D49" s="17"/>
      <c r="E49" s="17"/>
      <c r="F49" s="17"/>
      <c r="G49" s="17"/>
      <c r="H49" s="17"/>
      <c r="I49" s="17"/>
      <c r="J49" s="17"/>
      <c r="K49" s="17"/>
      <c r="X49" s="13" t="str">
        <f t="shared" si="6"/>
        <v>Riving (bygg i fremtiden)</v>
      </c>
      <c r="Y49" s="266">
        <f t="shared" ca="1" si="8"/>
        <v>0</v>
      </c>
      <c r="Z49" s="266">
        <f t="shared" ca="1" si="8"/>
        <v>0</v>
      </c>
      <c r="AA49" s="266">
        <f t="shared" ca="1" si="8"/>
        <v>0</v>
      </c>
      <c r="AB49" s="266">
        <f t="shared" ca="1" si="8"/>
        <v>0</v>
      </c>
      <c r="AC49" s="266">
        <f t="shared" ca="1" si="8"/>
        <v>0</v>
      </c>
    </row>
    <row r="57" spans="1:29">
      <c r="M57" s="12"/>
    </row>
    <row r="61" spans="1:29">
      <c r="A61" s="6"/>
    </row>
    <row r="62" spans="1:29">
      <c r="A62" s="6"/>
    </row>
    <row r="63" spans="1:29">
      <c r="A63" s="6"/>
    </row>
    <row r="64" spans="1:29">
      <c r="A64" s="6"/>
    </row>
    <row r="67" spans="3:13" ht="45.75" customHeight="1">
      <c r="C67" s="293" t="s">
        <v>63</v>
      </c>
      <c r="D67" s="293"/>
      <c r="E67" s="293" t="s">
        <v>64</v>
      </c>
      <c r="F67" s="293"/>
      <c r="G67" s="293"/>
      <c r="H67" s="293"/>
      <c r="J67" s="293" t="s">
        <v>65</v>
      </c>
      <c r="K67" s="293"/>
      <c r="L67" s="293"/>
      <c r="M67" s="293"/>
    </row>
    <row r="68" spans="3:13" ht="14.1">
      <c r="E68" s="5"/>
    </row>
    <row r="69" spans="3:13" ht="14.1">
      <c r="E69" s="18"/>
    </row>
    <row r="70" spans="3:13" ht="14.1">
      <c r="E70" s="18"/>
    </row>
  </sheetData>
  <mergeCells count="50">
    <mergeCell ref="L28:M28"/>
    <mergeCell ref="L29:M29"/>
    <mergeCell ref="L30:M30"/>
    <mergeCell ref="J13:K13"/>
    <mergeCell ref="H29:I29"/>
    <mergeCell ref="L13:M13"/>
    <mergeCell ref="L27:M27"/>
    <mergeCell ref="J25:K25"/>
    <mergeCell ref="J24:K24"/>
    <mergeCell ref="L24:M24"/>
    <mergeCell ref="L25:M25"/>
    <mergeCell ref="C5:H5"/>
    <mergeCell ref="D13:E13"/>
    <mergeCell ref="F13:G13"/>
    <mergeCell ref="H13:I13"/>
    <mergeCell ref="D25:E25"/>
    <mergeCell ref="F25:G25"/>
    <mergeCell ref="H25:I25"/>
    <mergeCell ref="D24:E24"/>
    <mergeCell ref="F24:G24"/>
    <mergeCell ref="H24:I24"/>
    <mergeCell ref="B28:B29"/>
    <mergeCell ref="D30:E30"/>
    <mergeCell ref="F30:G30"/>
    <mergeCell ref="H30:I30"/>
    <mergeCell ref="J30:K30"/>
    <mergeCell ref="D28:E28"/>
    <mergeCell ref="F28:G28"/>
    <mergeCell ref="H28:I28"/>
    <mergeCell ref="J28:K28"/>
    <mergeCell ref="D29:E29"/>
    <mergeCell ref="F29:G29"/>
    <mergeCell ref="L34:M34"/>
    <mergeCell ref="C67:D67"/>
    <mergeCell ref="D34:E34"/>
    <mergeCell ref="F34:G34"/>
    <mergeCell ref="H34:I34"/>
    <mergeCell ref="J34:K34"/>
    <mergeCell ref="E67:H67"/>
    <mergeCell ref="J67:M67"/>
    <mergeCell ref="D27:E27"/>
    <mergeCell ref="F27:G27"/>
    <mergeCell ref="H27:I27"/>
    <mergeCell ref="J27:K27"/>
    <mergeCell ref="J29:K29"/>
    <mergeCell ref="D31:E31"/>
    <mergeCell ref="F31:G31"/>
    <mergeCell ref="H31:I31"/>
    <mergeCell ref="J31:K31"/>
    <mergeCell ref="L31:M31"/>
  </mergeCells>
  <phoneticPr fontId="1" type="noConversion"/>
  <conditionalFormatting sqref="L11:M11">
    <cfRule type="expression" dxfId="187" priority="134">
      <formula>$AC$11=0</formula>
    </cfRule>
  </conditionalFormatting>
  <conditionalFormatting sqref="D13:E14 D15:D21 D22:E22">
    <cfRule type="expression" dxfId="186" priority="123">
      <formula>$Z$11=0</formula>
    </cfRule>
  </conditionalFormatting>
  <conditionalFormatting sqref="D25:E25">
    <cfRule type="expression" dxfId="185" priority="122">
      <formula>$Z$11=0</formula>
    </cfRule>
  </conditionalFormatting>
  <conditionalFormatting sqref="D27:E30">
    <cfRule type="expression" dxfId="184" priority="121">
      <formula>$Z$11=0</formula>
    </cfRule>
  </conditionalFormatting>
  <conditionalFormatting sqref="D34:E40">
    <cfRule type="expression" dxfId="183" priority="120">
      <formula>$Z$11=0</formula>
    </cfRule>
  </conditionalFormatting>
  <conditionalFormatting sqref="D31:E31">
    <cfRule type="expression" dxfId="182" priority="116">
      <formula>$Z$11=0</formula>
    </cfRule>
  </conditionalFormatting>
  <conditionalFormatting sqref="D41:E41">
    <cfRule type="expression" dxfId="181" priority="95">
      <formula>$Z$11=0</formula>
    </cfRule>
  </conditionalFormatting>
  <conditionalFormatting sqref="F13:G41">
    <cfRule type="expression" dxfId="180" priority="9">
      <formula>$Z$11=0</formula>
    </cfRule>
  </conditionalFormatting>
  <conditionalFormatting sqref="E15:E21 D24:E25">
    <cfRule type="expression" dxfId="179" priority="8">
      <formula>$Z$11=0</formula>
    </cfRule>
  </conditionalFormatting>
  <conditionalFormatting sqref="H13:I41">
    <cfRule type="expression" dxfId="178" priority="7">
      <formula>$AA$11=0</formula>
    </cfRule>
  </conditionalFormatting>
  <conditionalFormatting sqref="J13:K41">
    <cfRule type="expression" dxfId="177" priority="6">
      <formula>$AB$11=0</formula>
    </cfRule>
  </conditionalFormatting>
  <conditionalFormatting sqref="L13:M41">
    <cfRule type="expression" dxfId="176" priority="5">
      <formula>$AC$11=0</formula>
    </cfRule>
  </conditionalFormatting>
  <conditionalFormatting sqref="F13:G22 F24:G25 F27:G31 F34:G41">
    <cfRule type="expression" dxfId="175" priority="4">
      <formula>$Z$11=1</formula>
    </cfRule>
  </conditionalFormatting>
  <conditionalFormatting sqref="H13:I22 H24:I25 H28:I31 H34:I41">
    <cfRule type="expression" dxfId="174" priority="3">
      <formula>$AA$11=1</formula>
    </cfRule>
  </conditionalFormatting>
  <conditionalFormatting sqref="H27:I27">
    <cfRule type="expression" dxfId="173" priority="2">
      <formula>$AA$11=1</formula>
    </cfRule>
  </conditionalFormatting>
  <conditionalFormatting sqref="J13:K22 J24:K25 J27:K31 J34:K41">
    <cfRule type="expression" dxfId="172" priority="1">
      <formula>$AB$11=1</formula>
    </cfRule>
  </conditionalFormatting>
  <pageMargins left="0.25" right="0.25" top="0.75" bottom="0.75" header="0.3" footer="0.3"/>
  <pageSetup paperSize="9" scale="45" fitToHeight="0"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83" id="{5F7AF094-771E-4D40-9A46-7B8EF19F6E6D}">
            <x14:iconSet custom="1">
              <x14:cfvo type="percent">
                <xm:f>0</xm:f>
              </x14:cfvo>
              <x14:cfvo type="num">
                <xm:f>0.09</xm:f>
              </x14:cfvo>
              <x14:cfvo type="num">
                <xm:f>0.11</xm:f>
              </x14:cfvo>
              <x14:cfIcon iconSet="3TrafficLights1" iconId="1"/>
              <x14:cfIcon iconSet="3TrafficLights1" iconId="2"/>
              <x14:cfIcon iconSet="3TrafficLights1" iconId="0"/>
            </x14:iconSet>
          </x14:cfRule>
          <xm:sqref>E15</xm:sqref>
        </x14:conditionalFormatting>
        <x14:conditionalFormatting xmlns:xm="http://schemas.microsoft.com/office/excel/2006/main">
          <x14:cfRule type="iconSet" priority="82" id="{5B5CAC0C-9833-49E6-8E14-C3C309AA74A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E16</xm:sqref>
        </x14:conditionalFormatting>
        <x14:conditionalFormatting xmlns:xm="http://schemas.microsoft.com/office/excel/2006/main">
          <x14:cfRule type="iconSet" priority="81" id="{D250E4F2-B1FF-4A4F-9ADC-E84976A9867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E17</xm:sqref>
        </x14:conditionalFormatting>
        <x14:conditionalFormatting xmlns:xm="http://schemas.microsoft.com/office/excel/2006/main">
          <x14:cfRule type="iconSet" priority="80" id="{6C0A87E7-503D-4FE2-BB4F-9DA2C0D05AC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E18</xm:sqref>
        </x14:conditionalFormatting>
        <x14:conditionalFormatting xmlns:xm="http://schemas.microsoft.com/office/excel/2006/main">
          <x14:cfRule type="iconSet" priority="79" id="{E2169C73-C8D8-4F8E-9889-A353C59D6C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E19</xm:sqref>
        </x14:conditionalFormatting>
        <x14:conditionalFormatting xmlns:xm="http://schemas.microsoft.com/office/excel/2006/main">
          <x14:cfRule type="iconSet" priority="78" id="{5039E481-9EF6-4E58-93E4-723A715DEE48}">
            <x14:iconSet custom="1">
              <x14:cfvo type="percent">
                <xm:f>0</xm:f>
              </x14:cfvo>
              <x14:cfvo type="num">
                <xm:f>0</xm:f>
              </x14:cfvo>
              <x14:cfvo type="num" gte="0">
                <xm:f>0</xm:f>
              </x14:cfvo>
              <x14:cfIcon iconSet="3TrafficLights1" iconId="2"/>
              <x14:cfIcon iconSet="3TrafficLights1" iconId="1"/>
              <x14:cfIcon iconSet="3TrafficLights1" iconId="0"/>
            </x14:iconSet>
          </x14:cfRule>
          <xm:sqref>O23</xm:sqref>
        </x14:conditionalFormatting>
        <x14:conditionalFormatting xmlns:xm="http://schemas.microsoft.com/office/excel/2006/main">
          <x14:cfRule type="iconSet" priority="77" id="{3FD1F477-BA89-4295-A57B-3C2210BCAA73}">
            <x14:iconSet custom="1">
              <x14:cfvo type="percent">
                <xm:f>0</xm:f>
              </x14:cfvo>
              <x14:cfvo type="num">
                <xm:f>0</xm:f>
              </x14:cfvo>
              <x14:cfvo type="num" gte="0">
                <xm:f>0</xm:f>
              </x14:cfvo>
              <x14:cfIcon iconSet="3TrafficLights1" iconId="2"/>
              <x14:cfIcon iconSet="3TrafficLights1" iconId="1"/>
              <x14:cfIcon iconSet="3TrafficLights1" iconId="0"/>
            </x14:iconSet>
          </x14:cfRule>
          <xm:sqref>E20</xm:sqref>
        </x14:conditionalFormatting>
        <x14:conditionalFormatting xmlns:xm="http://schemas.microsoft.com/office/excel/2006/main">
          <x14:cfRule type="iconSet" priority="76" id="{157FE68B-A59E-4C2A-B9E9-DC31CCC61CB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E21</xm:sqref>
        </x14:conditionalFormatting>
        <x14:conditionalFormatting xmlns:xm="http://schemas.microsoft.com/office/excel/2006/main">
          <x14:cfRule type="iconSet" priority="37" id="{A7E67EA0-8D21-4415-B3C2-78605AD7ED15}">
            <x14:iconSet custom="1">
              <x14:cfvo type="percent">
                <xm:f>0</xm:f>
              </x14:cfvo>
              <x14:cfvo type="num">
                <xm:f>0.09</xm:f>
              </x14:cfvo>
              <x14:cfvo type="num">
                <xm:f>0.11</xm:f>
              </x14:cfvo>
              <x14:cfIcon iconSet="3TrafficLights1" iconId="1"/>
              <x14:cfIcon iconSet="3TrafficLights1" iconId="2"/>
              <x14:cfIcon iconSet="3TrafficLights1" iconId="0"/>
            </x14:iconSet>
          </x14:cfRule>
          <xm:sqref>G15</xm:sqref>
        </x14:conditionalFormatting>
        <x14:conditionalFormatting xmlns:xm="http://schemas.microsoft.com/office/excel/2006/main">
          <x14:cfRule type="iconSet" priority="36" id="{3E76B40F-F718-483D-BA2D-D476E200CFD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G16</xm:sqref>
        </x14:conditionalFormatting>
        <x14:conditionalFormatting xmlns:xm="http://schemas.microsoft.com/office/excel/2006/main">
          <x14:cfRule type="iconSet" priority="35" id="{1327ACD0-8515-4BC4-B11C-634DC273E8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G17</xm:sqref>
        </x14:conditionalFormatting>
        <x14:conditionalFormatting xmlns:xm="http://schemas.microsoft.com/office/excel/2006/main">
          <x14:cfRule type="iconSet" priority="34" id="{284E12EC-B41A-4131-9120-A8E5E3CF159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G18</xm:sqref>
        </x14:conditionalFormatting>
        <x14:conditionalFormatting xmlns:xm="http://schemas.microsoft.com/office/excel/2006/main">
          <x14:cfRule type="iconSet" priority="33" id="{A75A80DD-71C5-4A0D-BF5F-4AD1934228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G19</xm:sqref>
        </x14:conditionalFormatting>
        <x14:conditionalFormatting xmlns:xm="http://schemas.microsoft.com/office/excel/2006/main">
          <x14:cfRule type="iconSet" priority="32" id="{0F48B837-B463-4360-8240-4184B781CEDD}">
            <x14:iconSet custom="1">
              <x14:cfvo type="percent">
                <xm:f>0</xm:f>
              </x14:cfvo>
              <x14:cfvo type="num">
                <xm:f>0</xm:f>
              </x14:cfvo>
              <x14:cfvo type="num" gte="0">
                <xm:f>0</xm:f>
              </x14:cfvo>
              <x14:cfIcon iconSet="3TrafficLights1" iconId="2"/>
              <x14:cfIcon iconSet="3TrafficLights1" iconId="1"/>
              <x14:cfIcon iconSet="3TrafficLights1" iconId="0"/>
            </x14:iconSet>
          </x14:cfRule>
          <xm:sqref>G20</xm:sqref>
        </x14:conditionalFormatting>
        <x14:conditionalFormatting xmlns:xm="http://schemas.microsoft.com/office/excel/2006/main">
          <x14:cfRule type="iconSet" priority="31" id="{55E9CA32-984F-426E-870E-49FCC6589B6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G21</xm:sqref>
        </x14:conditionalFormatting>
        <x14:conditionalFormatting xmlns:xm="http://schemas.microsoft.com/office/excel/2006/main">
          <x14:cfRule type="iconSet" priority="30" id="{20BEC7C7-6AB0-442D-8413-7C58A2DC7E2A}">
            <x14:iconSet custom="1">
              <x14:cfvo type="percent">
                <xm:f>0</xm:f>
              </x14:cfvo>
              <x14:cfvo type="num">
                <xm:f>0.09</xm:f>
              </x14:cfvo>
              <x14:cfvo type="num">
                <xm:f>0.11</xm:f>
              </x14:cfvo>
              <x14:cfIcon iconSet="3TrafficLights1" iconId="1"/>
              <x14:cfIcon iconSet="3TrafficLights1" iconId="2"/>
              <x14:cfIcon iconSet="3TrafficLights1" iconId="0"/>
            </x14:iconSet>
          </x14:cfRule>
          <xm:sqref>I15</xm:sqref>
        </x14:conditionalFormatting>
        <x14:conditionalFormatting xmlns:xm="http://schemas.microsoft.com/office/excel/2006/main">
          <x14:cfRule type="iconSet" priority="29" id="{C828CB36-37DA-4ABF-820B-A0E756B3BDA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I16</xm:sqref>
        </x14:conditionalFormatting>
        <x14:conditionalFormatting xmlns:xm="http://schemas.microsoft.com/office/excel/2006/main">
          <x14:cfRule type="iconSet" priority="28" id="{CAB78D4D-8871-4DAB-A332-AAE517D0116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I17</xm:sqref>
        </x14:conditionalFormatting>
        <x14:conditionalFormatting xmlns:xm="http://schemas.microsoft.com/office/excel/2006/main">
          <x14:cfRule type="iconSet" priority="27" id="{B0FFD690-2020-48A9-92F3-D9DE38F95CB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I18</xm:sqref>
        </x14:conditionalFormatting>
        <x14:conditionalFormatting xmlns:xm="http://schemas.microsoft.com/office/excel/2006/main">
          <x14:cfRule type="iconSet" priority="26" id="{8B6CDFF1-9E1A-4257-874F-EC8B4A59575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I19</xm:sqref>
        </x14:conditionalFormatting>
        <x14:conditionalFormatting xmlns:xm="http://schemas.microsoft.com/office/excel/2006/main">
          <x14:cfRule type="iconSet" priority="25" id="{E8A704CD-4115-4111-AB20-6DCA036B47BD}">
            <x14:iconSet custom="1">
              <x14:cfvo type="percent">
                <xm:f>0</xm:f>
              </x14:cfvo>
              <x14:cfvo type="num">
                <xm:f>0</xm:f>
              </x14:cfvo>
              <x14:cfvo type="num" gte="0">
                <xm:f>0</xm:f>
              </x14:cfvo>
              <x14:cfIcon iconSet="3TrafficLights1" iconId="2"/>
              <x14:cfIcon iconSet="3TrafficLights1" iconId="1"/>
              <x14:cfIcon iconSet="3TrafficLights1" iconId="0"/>
            </x14:iconSet>
          </x14:cfRule>
          <xm:sqref>I20</xm:sqref>
        </x14:conditionalFormatting>
        <x14:conditionalFormatting xmlns:xm="http://schemas.microsoft.com/office/excel/2006/main">
          <x14:cfRule type="iconSet" priority="24" id="{6C00B5DA-A43F-4D31-82AB-0897673E885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I21</xm:sqref>
        </x14:conditionalFormatting>
        <x14:conditionalFormatting xmlns:xm="http://schemas.microsoft.com/office/excel/2006/main">
          <x14:cfRule type="iconSet" priority="23" id="{573398CC-4B7B-4255-AA85-B92ADE43E653}">
            <x14:iconSet custom="1">
              <x14:cfvo type="percent">
                <xm:f>0</xm:f>
              </x14:cfvo>
              <x14:cfvo type="num">
                <xm:f>0.09</xm:f>
              </x14:cfvo>
              <x14:cfvo type="num">
                <xm:f>0.11</xm:f>
              </x14:cfvo>
              <x14:cfIcon iconSet="3TrafficLights1" iconId="1"/>
              <x14:cfIcon iconSet="3TrafficLights1" iconId="2"/>
              <x14:cfIcon iconSet="3TrafficLights1" iconId="0"/>
            </x14:iconSet>
          </x14:cfRule>
          <xm:sqref>K15</xm:sqref>
        </x14:conditionalFormatting>
        <x14:conditionalFormatting xmlns:xm="http://schemas.microsoft.com/office/excel/2006/main">
          <x14:cfRule type="iconSet" priority="22" id="{A2655973-B9D8-4704-A7B3-A017E375460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K16</xm:sqref>
        </x14:conditionalFormatting>
        <x14:conditionalFormatting xmlns:xm="http://schemas.microsoft.com/office/excel/2006/main">
          <x14:cfRule type="iconSet" priority="21" id="{49A36E86-100D-4A9C-8CD1-63498413204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K17</xm:sqref>
        </x14:conditionalFormatting>
        <x14:conditionalFormatting xmlns:xm="http://schemas.microsoft.com/office/excel/2006/main">
          <x14:cfRule type="iconSet" priority="20" id="{57817D6F-3800-43DC-83F8-0130811C3AD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K18</xm:sqref>
        </x14:conditionalFormatting>
        <x14:conditionalFormatting xmlns:xm="http://schemas.microsoft.com/office/excel/2006/main">
          <x14:cfRule type="iconSet" priority="19" id="{3973750B-6860-4A70-9A45-8CAC1A3317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K19</xm:sqref>
        </x14:conditionalFormatting>
        <x14:conditionalFormatting xmlns:xm="http://schemas.microsoft.com/office/excel/2006/main">
          <x14:cfRule type="iconSet" priority="18" id="{6D92AA69-55E7-4787-A5B8-B2FA609FCD94}">
            <x14:iconSet custom="1">
              <x14:cfvo type="percent">
                <xm:f>0</xm:f>
              </x14:cfvo>
              <x14:cfvo type="num">
                <xm:f>0</xm:f>
              </x14:cfvo>
              <x14:cfvo type="num" gte="0">
                <xm:f>0</xm:f>
              </x14:cfvo>
              <x14:cfIcon iconSet="3TrafficLights1" iconId="2"/>
              <x14:cfIcon iconSet="3TrafficLights1" iconId="1"/>
              <x14:cfIcon iconSet="3TrafficLights1" iconId="0"/>
            </x14:iconSet>
          </x14:cfRule>
          <xm:sqref>K20</xm:sqref>
        </x14:conditionalFormatting>
        <x14:conditionalFormatting xmlns:xm="http://schemas.microsoft.com/office/excel/2006/main">
          <x14:cfRule type="iconSet" priority="17" id="{84D86608-5725-42E2-B355-A2B6678D60C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K21</xm:sqref>
        </x14:conditionalFormatting>
        <x14:conditionalFormatting xmlns:xm="http://schemas.microsoft.com/office/excel/2006/main">
          <x14:cfRule type="iconSet" priority="16" id="{FD2BC8B7-86DF-43B4-80F2-B7039E67DFD7}">
            <x14:iconSet custom="1">
              <x14:cfvo type="percent">
                <xm:f>0</xm:f>
              </x14:cfvo>
              <x14:cfvo type="num">
                <xm:f>0.09</xm:f>
              </x14:cfvo>
              <x14:cfvo type="num">
                <xm:f>0.11</xm:f>
              </x14:cfvo>
              <x14:cfIcon iconSet="3TrafficLights1" iconId="1"/>
              <x14:cfIcon iconSet="3TrafficLights1" iconId="2"/>
              <x14:cfIcon iconSet="3TrafficLights1" iconId="0"/>
            </x14:iconSet>
          </x14:cfRule>
          <xm:sqref>M15</xm:sqref>
        </x14:conditionalFormatting>
        <x14:conditionalFormatting xmlns:xm="http://schemas.microsoft.com/office/excel/2006/main">
          <x14:cfRule type="iconSet" priority="15" id="{D23C868D-63CA-4EFD-9F3F-EF2BEE4FA38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M16</xm:sqref>
        </x14:conditionalFormatting>
        <x14:conditionalFormatting xmlns:xm="http://schemas.microsoft.com/office/excel/2006/main">
          <x14:cfRule type="iconSet" priority="14" id="{FF166B46-69F9-43BF-BFDB-23ABB649832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M17</xm:sqref>
        </x14:conditionalFormatting>
        <x14:conditionalFormatting xmlns:xm="http://schemas.microsoft.com/office/excel/2006/main">
          <x14:cfRule type="iconSet" priority="13" id="{617A6263-6B76-427A-956E-E2AE8B03AFD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M18</xm:sqref>
        </x14:conditionalFormatting>
        <x14:conditionalFormatting xmlns:xm="http://schemas.microsoft.com/office/excel/2006/main">
          <x14:cfRule type="iconSet" priority="12" id="{B89F2727-1931-4859-BF0E-FFB7D7FE259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M19</xm:sqref>
        </x14:conditionalFormatting>
        <x14:conditionalFormatting xmlns:xm="http://schemas.microsoft.com/office/excel/2006/main">
          <x14:cfRule type="iconSet" priority="11" id="{DA86AA79-F6E5-4DC7-BBEA-CFEC33B52C4D}">
            <x14:iconSet custom="1">
              <x14:cfvo type="percent">
                <xm:f>0</xm:f>
              </x14:cfvo>
              <x14:cfvo type="num">
                <xm:f>0</xm:f>
              </x14:cfvo>
              <x14:cfvo type="num" gte="0">
                <xm:f>0</xm:f>
              </x14:cfvo>
              <x14:cfIcon iconSet="3TrafficLights1" iconId="2"/>
              <x14:cfIcon iconSet="3TrafficLights1" iconId="1"/>
              <x14:cfIcon iconSet="3TrafficLights1" iconId="0"/>
            </x14:iconSet>
          </x14:cfRule>
          <xm:sqref>M20</xm:sqref>
        </x14:conditionalFormatting>
        <x14:conditionalFormatting xmlns:xm="http://schemas.microsoft.com/office/excel/2006/main">
          <x14:cfRule type="iconSet" priority="10" id="{13293BB1-D7B7-44D3-90C4-D3A22546444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FA47-42BD-4BAE-AAB0-9BF5A57C31CE}">
  <sheetPr codeName="Sheet3">
    <pageSetUpPr fitToPage="1"/>
  </sheetPr>
  <dimension ref="B2:AD93"/>
  <sheetViews>
    <sheetView showGridLines="0" zoomScale="70" zoomScaleNormal="70" workbookViewId="0">
      <selection activeCell="B52" sqref="B52:D52"/>
    </sheetView>
  </sheetViews>
  <sheetFormatPr baseColWidth="10" defaultColWidth="9.15625" defaultRowHeight="13.8"/>
  <cols>
    <col min="1" max="1" width="9.15625" style="2"/>
    <col min="2" max="2" width="77" style="2" bestFit="1" customWidth="1"/>
    <col min="3" max="3" width="38" style="2" bestFit="1" customWidth="1"/>
    <col min="4" max="4" width="72.83984375" style="2" customWidth="1"/>
    <col min="5" max="5" width="4" style="2" customWidth="1"/>
    <col min="6" max="6" width="114.578125" style="2" bestFit="1" customWidth="1"/>
    <col min="7" max="7" width="9.15625" style="2"/>
    <col min="8" max="12" width="9.15625" style="2" customWidth="1"/>
    <col min="13" max="17" width="9.15625" style="2" hidden="1" customWidth="1"/>
    <col min="18" max="18" width="53.15625" style="2" hidden="1" customWidth="1"/>
    <col min="19" max="19" width="73.83984375" style="2" hidden="1" customWidth="1"/>
    <col min="20" max="20" width="16.26171875" style="2" hidden="1" customWidth="1"/>
    <col min="21" max="30" width="9.15625" style="2" hidden="1" customWidth="1"/>
    <col min="31" max="38" width="9.15625" style="2" customWidth="1"/>
    <col min="39" max="16384" width="9.15625" style="2"/>
  </cols>
  <sheetData>
    <row r="2" spans="2:23" ht="27">
      <c r="B2" s="1" t="s">
        <v>66</v>
      </c>
    </row>
    <row r="3" spans="2:23" ht="15" customHeight="1">
      <c r="B3" s="1"/>
    </row>
    <row r="4" spans="2:23">
      <c r="B4" s="171" t="s">
        <v>67</v>
      </c>
      <c r="C4" s="19"/>
      <c r="D4" s="19"/>
    </row>
    <row r="5" spans="2:23" ht="22.5" customHeight="1">
      <c r="B5" s="19"/>
      <c r="C5" s="19"/>
      <c r="D5" s="19"/>
    </row>
    <row r="6" spans="2:23">
      <c r="B6" s="193" t="s">
        <v>68</v>
      </c>
      <c r="C6" s="193"/>
      <c r="D6" s="19"/>
    </row>
    <row r="7" spans="2:23">
      <c r="B7" s="21" t="s">
        <v>69</v>
      </c>
      <c r="C7" s="280"/>
      <c r="D7" s="19"/>
    </row>
    <row r="8" spans="2:23">
      <c r="B8" s="21" t="s">
        <v>70</v>
      </c>
      <c r="C8" s="280"/>
      <c r="D8" s="19"/>
    </row>
    <row r="9" spans="2:23">
      <c r="B9" s="19"/>
      <c r="C9" s="19"/>
      <c r="D9" s="19"/>
    </row>
    <row r="10" spans="2:23" ht="14.1">
      <c r="B10" s="193" t="s">
        <v>66</v>
      </c>
      <c r="C10" s="193" t="s">
        <v>71</v>
      </c>
      <c r="D10" s="19"/>
      <c r="H10" s="177"/>
      <c r="I10" s="177"/>
      <c r="J10" s="177"/>
    </row>
    <row r="11" spans="2:23">
      <c r="B11" s="21" t="s">
        <v>72</v>
      </c>
      <c r="C11" s="280"/>
      <c r="D11" s="19"/>
    </row>
    <row r="12" spans="2:23">
      <c r="B12" s="21" t="s">
        <v>73</v>
      </c>
      <c r="C12" s="280"/>
      <c r="D12" s="19"/>
      <c r="H12" s="6"/>
    </row>
    <row r="13" spans="2:23">
      <c r="B13" s="21" t="s">
        <v>74</v>
      </c>
      <c r="C13" s="280"/>
      <c r="D13" s="19"/>
    </row>
    <row r="14" spans="2:23" ht="14.1">
      <c r="B14" s="21" t="s">
        <v>75</v>
      </c>
      <c r="C14" s="280"/>
      <c r="D14" s="19"/>
      <c r="W14" s="65" t="s">
        <v>76</v>
      </c>
    </row>
    <row r="15" spans="2:23">
      <c r="B15" s="21" t="s">
        <v>77</v>
      </c>
      <c r="C15" s="280"/>
      <c r="D15" s="19"/>
      <c r="W15" s="9" t="s">
        <v>78</v>
      </c>
    </row>
    <row r="16" spans="2:23">
      <c r="B16" s="21" t="s">
        <v>79</v>
      </c>
      <c r="C16" s="280"/>
      <c r="D16" s="19"/>
      <c r="Q16" s="178" t="s">
        <v>80</v>
      </c>
      <c r="W16" s="9" t="s">
        <v>81</v>
      </c>
    </row>
    <row r="17" spans="2:26">
      <c r="B17" s="21" t="s">
        <v>82</v>
      </c>
      <c r="C17" s="280" t="s">
        <v>83</v>
      </c>
      <c r="D17" s="19"/>
      <c r="W17" s="9" t="s">
        <v>84</v>
      </c>
    </row>
    <row r="18" spans="2:26" ht="14.1">
      <c r="B18" s="19" t="str">
        <f>IF(C17=W18,W19,"")</f>
        <v>*kreves ikke av Oslo kommune, men er et krav i Byggteknisk forskrift (TEK17, §17.1).</v>
      </c>
      <c r="C18" s="19"/>
      <c r="D18" s="19"/>
      <c r="R18" s="65" t="s">
        <v>85</v>
      </c>
      <c r="S18" s="65" t="s">
        <v>86</v>
      </c>
      <c r="T18" s="5"/>
      <c r="W18" s="9" t="s">
        <v>83</v>
      </c>
    </row>
    <row r="19" spans="2:26">
      <c r="B19" s="19"/>
      <c r="C19" s="19"/>
      <c r="D19" s="19"/>
      <c r="R19" s="9" t="s">
        <v>87</v>
      </c>
      <c r="S19" s="9" t="s">
        <v>88</v>
      </c>
      <c r="W19" s="179" t="s">
        <v>89</v>
      </c>
    </row>
    <row r="20" spans="2:26" ht="14.1">
      <c r="B20" s="193" t="s">
        <v>66</v>
      </c>
      <c r="C20" s="193" t="s">
        <v>71</v>
      </c>
      <c r="D20" s="193" t="s">
        <v>90</v>
      </c>
      <c r="F20" s="180">
        <f>HLOOKUP($C$22,$Q$26:$U$32,P27,FALSE)</f>
        <v>0</v>
      </c>
      <c r="R20" s="9">
        <v>1</v>
      </c>
      <c r="S20" s="9" t="s">
        <v>91</v>
      </c>
    </row>
    <row r="21" spans="2:26">
      <c r="B21" s="21" t="s">
        <v>92</v>
      </c>
      <c r="C21" s="280" t="s">
        <v>87</v>
      </c>
      <c r="D21" s="280"/>
      <c r="F21" s="9">
        <f>HLOOKUP($C$22,$Q$26:$U$32,P28,FALSE)</f>
        <v>0</v>
      </c>
      <c r="R21" s="9">
        <v>2</v>
      </c>
      <c r="S21" s="9" t="s">
        <v>93</v>
      </c>
    </row>
    <row r="22" spans="2:26">
      <c r="B22" s="21" t="s">
        <v>94</v>
      </c>
      <c r="C22" s="280" t="s">
        <v>88</v>
      </c>
      <c r="D22" s="280"/>
      <c r="F22" s="9">
        <f t="shared" ref="F22:F24" si="0">HLOOKUP($C$22,$Q$26:$U$32,P29,FALSE)</f>
        <v>0</v>
      </c>
      <c r="R22" s="9">
        <v>3</v>
      </c>
      <c r="S22" s="9" t="s">
        <v>95</v>
      </c>
    </row>
    <row r="23" spans="2:26">
      <c r="B23" s="21" t="s">
        <v>96</v>
      </c>
      <c r="C23" s="280" t="s">
        <v>97</v>
      </c>
      <c r="D23" s="280"/>
      <c r="F23" s="9">
        <f t="shared" si="0"/>
        <v>0</v>
      </c>
      <c r="R23" s="9">
        <v>4</v>
      </c>
      <c r="S23" s="2" t="s">
        <v>98</v>
      </c>
    </row>
    <row r="24" spans="2:26" ht="14.1">
      <c r="B24" s="21" t="s">
        <v>99</v>
      </c>
      <c r="C24" s="280">
        <v>50</v>
      </c>
      <c r="D24" s="280"/>
      <c r="F24" s="9">
        <f t="shared" si="0"/>
        <v>0</v>
      </c>
      <c r="H24" s="6"/>
      <c r="R24" s="9">
        <v>5</v>
      </c>
      <c r="Z24" s="5" t="s">
        <v>96</v>
      </c>
    </row>
    <row r="25" spans="2:26" ht="14.1">
      <c r="B25" s="21" t="s">
        <v>100</v>
      </c>
      <c r="C25" s="280" t="s">
        <v>101</v>
      </c>
      <c r="D25" s="280"/>
      <c r="H25" s="6"/>
      <c r="W25" s="65" t="s">
        <v>101</v>
      </c>
      <c r="X25" s="2" t="s">
        <v>102</v>
      </c>
      <c r="Z25" s="2" t="s">
        <v>97</v>
      </c>
    </row>
    <row r="26" spans="2:26">
      <c r="B26" s="21" t="s">
        <v>103</v>
      </c>
      <c r="C26" s="280">
        <v>2025</v>
      </c>
      <c r="D26" s="280"/>
      <c r="Q26" s="2" t="str">
        <f>S20</f>
        <v>Reduzer</v>
      </c>
      <c r="R26" s="2" t="str">
        <f>S21</f>
        <v>OneClick LCA</v>
      </c>
      <c r="S26" s="2" t="str">
        <f>S23</f>
        <v>Annet (spesifiser)</v>
      </c>
      <c r="T26" s="2" t="s">
        <v>95</v>
      </c>
      <c r="U26" s="2" t="s">
        <v>88</v>
      </c>
      <c r="W26" s="9" t="s">
        <v>104</v>
      </c>
      <c r="X26" s="2" t="s">
        <v>105</v>
      </c>
      <c r="Z26" s="2" t="s">
        <v>106</v>
      </c>
    </row>
    <row r="27" spans="2:26" ht="14.1">
      <c r="B27" s="19"/>
      <c r="C27" s="19"/>
      <c r="D27" s="19"/>
      <c r="P27" s="6">
        <v>2</v>
      </c>
      <c r="Q27" s="65" t="s">
        <v>107</v>
      </c>
      <c r="R27" s="65" t="s">
        <v>108</v>
      </c>
      <c r="S27" s="65" t="s">
        <v>109</v>
      </c>
      <c r="T27" s="65"/>
      <c r="U27" s="65"/>
      <c r="W27" s="9" t="s">
        <v>110</v>
      </c>
      <c r="X27" s="2" t="s">
        <v>110</v>
      </c>
      <c r="Z27" s="2" t="s">
        <v>111</v>
      </c>
    </row>
    <row r="28" spans="2:26" ht="14.1">
      <c r="B28" s="5"/>
      <c r="P28" s="6">
        <v>3</v>
      </c>
      <c r="Q28" s="9" t="s">
        <v>112</v>
      </c>
      <c r="R28" s="9" t="s">
        <v>113</v>
      </c>
      <c r="S28" s="9" t="s">
        <v>114</v>
      </c>
      <c r="T28" s="9"/>
      <c r="U28" s="9"/>
      <c r="W28" s="9" t="s">
        <v>115</v>
      </c>
      <c r="X28" s="2" t="s">
        <v>115</v>
      </c>
      <c r="Z28" s="2" t="s">
        <v>116</v>
      </c>
    </row>
    <row r="29" spans="2:26" ht="15" customHeight="1">
      <c r="C29" s="1"/>
      <c r="P29" s="6">
        <v>4</v>
      </c>
      <c r="Q29" s="9" t="s">
        <v>117</v>
      </c>
      <c r="R29" s="9" t="s">
        <v>118</v>
      </c>
      <c r="S29" s="9" t="s">
        <v>119</v>
      </c>
      <c r="T29" s="9"/>
      <c r="U29" s="9"/>
      <c r="Z29" s="2" t="s">
        <v>120</v>
      </c>
    </row>
    <row r="30" spans="2:26" ht="27">
      <c r="C30" s="1"/>
      <c r="P30" s="6">
        <v>5</v>
      </c>
      <c r="Q30" s="9"/>
      <c r="R30" s="9" t="s">
        <v>121</v>
      </c>
      <c r="S30" s="9"/>
      <c r="T30" s="9"/>
      <c r="U30" s="9"/>
      <c r="Z30" s="2" t="s">
        <v>122</v>
      </c>
    </row>
    <row r="31" spans="2:26" ht="27">
      <c r="B31" s="1" t="s">
        <v>123</v>
      </c>
      <c r="P31" s="6">
        <v>6</v>
      </c>
      <c r="Q31" s="9"/>
      <c r="R31" s="9" t="s">
        <v>124</v>
      </c>
      <c r="S31" s="9"/>
      <c r="T31" s="9"/>
      <c r="U31" s="9"/>
      <c r="Z31" s="2" t="s">
        <v>125</v>
      </c>
    </row>
    <row r="32" spans="2:26">
      <c r="B32" s="181" t="s">
        <v>126</v>
      </c>
      <c r="C32" s="182"/>
      <c r="D32" s="183"/>
      <c r="E32" s="6"/>
      <c r="F32" s="6"/>
      <c r="G32" s="6"/>
      <c r="Q32" s="9"/>
      <c r="R32" s="9"/>
      <c r="S32" s="9"/>
      <c r="T32" s="9"/>
      <c r="U32" s="9"/>
      <c r="Z32" s="2" t="s">
        <v>98</v>
      </c>
    </row>
    <row r="33" spans="2:21" ht="90" customHeight="1">
      <c r="B33" s="300"/>
      <c r="C33" s="301"/>
      <c r="D33" s="302"/>
    </row>
    <row r="35" spans="2:21">
      <c r="B35" s="181" t="s">
        <v>127</v>
      </c>
      <c r="C35" s="182"/>
      <c r="D35" s="183"/>
    </row>
    <row r="36" spans="2:21" ht="90" customHeight="1">
      <c r="B36" s="303"/>
      <c r="C36" s="304"/>
      <c r="D36" s="305"/>
      <c r="S36" s="184" t="s">
        <v>69</v>
      </c>
      <c r="T36" s="9"/>
      <c r="U36" s="2" t="s">
        <v>128</v>
      </c>
    </row>
    <row r="37" spans="2:21">
      <c r="B37" s="306"/>
      <c r="C37" s="307"/>
      <c r="D37" s="308"/>
      <c r="S37" s="184" t="s">
        <v>70</v>
      </c>
      <c r="T37" s="9"/>
      <c r="U37" s="2" t="s">
        <v>128</v>
      </c>
    </row>
    <row r="38" spans="2:21">
      <c r="S38" s="184" t="s">
        <v>129</v>
      </c>
      <c r="T38" s="9"/>
      <c r="U38" s="2" t="s">
        <v>128</v>
      </c>
    </row>
    <row r="39" spans="2:21">
      <c r="B39" s="181" t="s">
        <v>130</v>
      </c>
      <c r="C39" s="182"/>
      <c r="D39" s="183"/>
      <c r="S39" s="184" t="s">
        <v>131</v>
      </c>
      <c r="T39" s="9"/>
      <c r="U39" s="2" t="s">
        <v>128</v>
      </c>
    </row>
    <row r="40" spans="2:21" ht="90" customHeight="1">
      <c r="B40" s="300"/>
      <c r="C40" s="301"/>
      <c r="D40" s="302"/>
      <c r="N40" s="8" t="s">
        <v>68</v>
      </c>
      <c r="O40" s="8"/>
    </row>
    <row r="42" spans="2:21">
      <c r="B42" s="181" t="s">
        <v>132</v>
      </c>
      <c r="C42" s="182"/>
      <c r="D42" s="183"/>
    </row>
    <row r="43" spans="2:21" ht="90" customHeight="1">
      <c r="B43" s="300"/>
      <c r="C43" s="301"/>
      <c r="D43" s="302"/>
    </row>
    <row r="45" spans="2:21">
      <c r="B45" s="181" t="s">
        <v>133</v>
      </c>
      <c r="C45" s="182"/>
      <c r="D45" s="183"/>
    </row>
    <row r="46" spans="2:21" ht="90" customHeight="1">
      <c r="B46" s="300"/>
      <c r="C46" s="301"/>
      <c r="D46" s="302"/>
    </row>
    <row r="48" spans="2:21">
      <c r="B48" s="181" t="s">
        <v>134</v>
      </c>
      <c r="C48" s="182"/>
      <c r="D48" s="183"/>
    </row>
    <row r="49" spans="2:7" ht="90" customHeight="1">
      <c r="B49" s="300"/>
      <c r="C49" s="301"/>
      <c r="D49" s="302"/>
    </row>
    <row r="51" spans="2:7">
      <c r="B51" s="181" t="s">
        <v>580</v>
      </c>
      <c r="C51" s="182"/>
      <c r="D51" s="183"/>
    </row>
    <row r="52" spans="2:7" ht="90" customHeight="1">
      <c r="B52" s="300"/>
      <c r="C52" s="301"/>
      <c r="D52" s="302"/>
    </row>
    <row r="57" spans="2:7" ht="14.1" hidden="1" thickBot="1">
      <c r="B57" s="6" t="s">
        <v>135</v>
      </c>
    </row>
    <row r="58" spans="2:7" hidden="1">
      <c r="B58" s="185" t="s">
        <v>136</v>
      </c>
      <c r="C58" s="186"/>
      <c r="D58" s="187"/>
      <c r="E58" s="6"/>
      <c r="F58" s="6"/>
      <c r="G58" s="6"/>
    </row>
    <row r="59" spans="2:7" hidden="1">
      <c r="B59" s="188"/>
      <c r="D59" s="189"/>
    </row>
    <row r="60" spans="2:7" hidden="1">
      <c r="B60" s="188"/>
      <c r="D60" s="189"/>
    </row>
    <row r="61" spans="2:7" hidden="1">
      <c r="B61" s="188"/>
      <c r="D61" s="189"/>
    </row>
    <row r="62" spans="2:7" hidden="1">
      <c r="B62" s="188"/>
      <c r="D62" s="189"/>
    </row>
    <row r="63" spans="2:7" hidden="1">
      <c r="B63" s="188"/>
      <c r="D63" s="189"/>
    </row>
    <row r="64" spans="2:7" hidden="1">
      <c r="B64" s="188"/>
      <c r="D64" s="189"/>
    </row>
    <row r="65" spans="2:7" hidden="1">
      <c r="B65" s="188"/>
      <c r="D65" s="189"/>
    </row>
    <row r="66" spans="2:7" ht="14.1" hidden="1" thickBot="1">
      <c r="B66" s="190"/>
      <c r="C66" s="191"/>
      <c r="D66" s="192"/>
    </row>
    <row r="67" spans="2:7" hidden="1"/>
    <row r="68" spans="2:7" ht="14.1" hidden="1" thickBot="1"/>
    <row r="69" spans="2:7" hidden="1">
      <c r="B69" s="185" t="s">
        <v>137</v>
      </c>
      <c r="C69" s="186"/>
      <c r="D69" s="187"/>
      <c r="E69" s="6"/>
      <c r="F69" s="6"/>
      <c r="G69" s="6"/>
    </row>
    <row r="70" spans="2:7" hidden="1">
      <c r="B70" s="188"/>
      <c r="D70" s="189"/>
    </row>
    <row r="71" spans="2:7" hidden="1">
      <c r="B71" s="188"/>
      <c r="D71" s="189"/>
    </row>
    <row r="72" spans="2:7" hidden="1">
      <c r="B72" s="188"/>
      <c r="D72" s="189"/>
    </row>
    <row r="73" spans="2:7" hidden="1">
      <c r="B73" s="188"/>
      <c r="D73" s="189"/>
    </row>
    <row r="74" spans="2:7" hidden="1">
      <c r="B74" s="188"/>
      <c r="D74" s="189"/>
    </row>
    <row r="75" spans="2:7" ht="14.1" hidden="1" thickBot="1">
      <c r="B75" s="190"/>
      <c r="C75" s="191"/>
      <c r="D75" s="192"/>
    </row>
    <row r="76" spans="2:7" hidden="1"/>
    <row r="77" spans="2:7" ht="14.1" hidden="1" thickBot="1"/>
    <row r="78" spans="2:7" hidden="1">
      <c r="B78" s="185" t="s">
        <v>138</v>
      </c>
      <c r="C78" s="186"/>
      <c r="D78" s="187"/>
      <c r="E78" s="6"/>
      <c r="F78" s="6"/>
      <c r="G78" s="6"/>
    </row>
    <row r="79" spans="2:7" hidden="1">
      <c r="B79" s="188"/>
      <c r="D79" s="189"/>
    </row>
    <row r="80" spans="2:7" hidden="1">
      <c r="B80" s="188"/>
      <c r="D80" s="189"/>
    </row>
    <row r="81" spans="2:7" hidden="1">
      <c r="B81" s="188"/>
      <c r="D81" s="189"/>
    </row>
    <row r="82" spans="2:7" hidden="1">
      <c r="B82" s="188"/>
      <c r="D82" s="189"/>
    </row>
    <row r="83" spans="2:7" ht="14.1" hidden="1" thickBot="1">
      <c r="B83" s="190"/>
      <c r="C83" s="191"/>
      <c r="D83" s="192"/>
    </row>
    <row r="84" spans="2:7" hidden="1"/>
    <row r="85" spans="2:7" hidden="1"/>
    <row r="86" spans="2:7" ht="14.1" hidden="1" thickBot="1">
      <c r="B86" s="2" t="s">
        <v>139</v>
      </c>
      <c r="E86" s="6"/>
      <c r="F86" s="6"/>
      <c r="G86" s="6"/>
    </row>
    <row r="87" spans="2:7" hidden="1">
      <c r="B87" s="185"/>
      <c r="C87" s="186"/>
      <c r="D87" s="187"/>
    </row>
    <row r="88" spans="2:7" hidden="1">
      <c r="B88" s="188"/>
      <c r="D88" s="189"/>
    </row>
    <row r="89" spans="2:7" hidden="1">
      <c r="B89" s="188"/>
      <c r="D89" s="189"/>
    </row>
    <row r="90" spans="2:7" ht="14.1" hidden="1" thickBot="1">
      <c r="B90" s="190"/>
      <c r="C90" s="191"/>
      <c r="D90" s="192"/>
    </row>
    <row r="91" spans="2:7" hidden="1"/>
    <row r="92" spans="2:7" hidden="1"/>
    <row r="93" spans="2:7" hidden="1"/>
  </sheetData>
  <sheetProtection algorithmName="SHA-512" hashValue="+SI8C65rIx4c5uN9nKk6ejJfoYYQXd9Rnnlyv54+YDdCSgswhdSpteXmrScaDeBQ+XD+O/FSGa5fgLBDVSrjvQ==" saltValue="lXxVKnQSjbiuoQO7EfI9jA==" spinCount="100000" sheet="1" objects="1" scenarios="1"/>
  <mergeCells count="7">
    <mergeCell ref="B46:D46"/>
    <mergeCell ref="B49:D49"/>
    <mergeCell ref="B52:D52"/>
    <mergeCell ref="B33:D33"/>
    <mergeCell ref="B36:D37"/>
    <mergeCell ref="B40:D40"/>
    <mergeCell ref="B43:D43"/>
  </mergeCells>
  <conditionalFormatting sqref="F20:F24">
    <cfRule type="expression" dxfId="171" priority="2">
      <formula>F20=0</formula>
    </cfRule>
  </conditionalFormatting>
  <conditionalFormatting sqref="F20:F25">
    <cfRule type="expression" dxfId="170" priority="1">
      <formula>F20&lt;&gt;0</formula>
    </cfRule>
  </conditionalFormatting>
  <dataValidations count="5">
    <dataValidation type="list" allowBlank="1" showInputMessage="1" showErrorMessage="1" sqref="C25" xr:uid="{C9A6C7F5-8D16-48D2-B677-9C0EED09AD2F}">
      <formula1>$W$25:$W$28</formula1>
    </dataValidation>
    <dataValidation type="list" allowBlank="1" showInputMessage="1" showErrorMessage="1" sqref="C17" xr:uid="{04DB5396-1EBF-40C8-AC7E-D3894EDF820C}">
      <formula1>$W$14:$W$18</formula1>
    </dataValidation>
    <dataValidation type="list" allowBlank="1" showInputMessage="1" showErrorMessage="1" sqref="C21" xr:uid="{66387A8B-DA59-4CAC-8B2C-58F9CD9EA83D}">
      <formula1>$R$19:$R$24</formula1>
    </dataValidation>
    <dataValidation type="list" allowBlank="1" showInputMessage="1" showErrorMessage="1" sqref="C22" xr:uid="{C8ED9E95-1C29-478C-825F-1C6E67AA7ABE}">
      <formula1>$S$19:$S$23</formula1>
    </dataValidation>
    <dataValidation type="list" allowBlank="1" showInputMessage="1" showErrorMessage="1" sqref="C23" xr:uid="{40391F7B-87AB-48F4-A3C5-F3A222841303}">
      <formula1>$Z$25:$Z$32</formula1>
    </dataValidation>
  </dataValidations>
  <pageMargins left="0.7" right="0.7" top="0.75" bottom="0.75" header="0.3" footer="0.3"/>
  <pageSetup paperSize="9" scale="46" fitToHeight="0"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5ED7-2CFE-4DB6-B6D0-E91EB8D8B582}">
  <sheetPr>
    <pageSetUpPr fitToPage="1"/>
  </sheetPr>
  <dimension ref="C1:BB159"/>
  <sheetViews>
    <sheetView showGridLines="0" zoomScale="85" zoomScaleNormal="85" workbookViewId="0">
      <selection activeCell="C2" sqref="C2"/>
    </sheetView>
  </sheetViews>
  <sheetFormatPr baseColWidth="10" defaultColWidth="9.15625" defaultRowHeight="13.8"/>
  <cols>
    <col min="1" max="1" width="1.68359375" style="25" customWidth="1"/>
    <col min="2" max="2" width="1" style="25" customWidth="1"/>
    <col min="3" max="3" width="64.83984375" style="25" customWidth="1"/>
    <col min="4" max="4" width="35.15625" style="25" customWidth="1"/>
    <col min="5" max="5" width="18.68359375" style="25" customWidth="1"/>
    <col min="6" max="6" width="17.41796875" style="25" customWidth="1"/>
    <col min="7" max="7" width="16.578125" style="25" bestFit="1" customWidth="1"/>
    <col min="8" max="8" width="15.578125" style="25" customWidth="1"/>
    <col min="9" max="9" width="15.15625" style="25" bestFit="1" customWidth="1"/>
    <col min="10" max="10" width="6.15625" style="25" customWidth="1"/>
    <col min="11" max="11" width="11.41796875" style="25" customWidth="1"/>
    <col min="12" max="12" width="30.83984375" style="25" customWidth="1"/>
    <col min="13" max="13" width="6.26171875" style="25" bestFit="1" customWidth="1"/>
    <col min="14" max="14" width="6.15625" style="25" bestFit="1" customWidth="1"/>
    <col min="15" max="15" width="27.41796875" style="25" customWidth="1"/>
    <col min="16" max="16" width="17.41796875" style="25" customWidth="1"/>
    <col min="17" max="17" width="13.83984375" style="25" customWidth="1"/>
    <col min="18" max="18" width="14.68359375" style="25" customWidth="1"/>
    <col min="19" max="20" width="9.15625" style="25" customWidth="1"/>
    <col min="21" max="21" width="3.15625" style="25" hidden="1" customWidth="1"/>
    <col min="22" max="22" width="25" style="25" hidden="1" customWidth="1"/>
    <col min="23" max="23" width="9.15625" style="25" hidden="1" customWidth="1"/>
    <col min="24" max="24" width="13" style="25" hidden="1" customWidth="1"/>
    <col min="25" max="25" width="9.15625" style="25" hidden="1" customWidth="1"/>
    <col min="26" max="26" width="14.41796875" style="25" hidden="1" customWidth="1"/>
    <col min="27" max="27" width="22.83984375" style="25" hidden="1" customWidth="1"/>
    <col min="28" max="30" width="9.15625" style="25" hidden="1" customWidth="1"/>
    <col min="31" max="31" width="29.26171875" style="25" hidden="1" customWidth="1"/>
    <col min="32" max="32" width="31.83984375" style="25" hidden="1" customWidth="1"/>
    <col min="33" max="33" width="32.26171875" style="25" hidden="1" customWidth="1"/>
    <col min="34" max="34" width="18.83984375" style="25" hidden="1" customWidth="1"/>
    <col min="35" max="35" width="37.68359375" style="25" hidden="1" customWidth="1"/>
    <col min="36" max="36" width="9.15625" style="25" hidden="1" customWidth="1"/>
    <col min="37" max="37" width="34.68359375" style="25" hidden="1" customWidth="1"/>
    <col min="38" max="38" width="25.15625" style="25" hidden="1" customWidth="1"/>
    <col min="39" max="39" width="23.83984375" style="25" hidden="1" customWidth="1"/>
    <col min="40" max="40" width="35" style="25" hidden="1" customWidth="1"/>
    <col min="41" max="41" width="20.41796875" style="25" hidden="1" customWidth="1"/>
    <col min="42" max="42" width="9.15625" style="25" hidden="1" customWidth="1"/>
    <col min="43" max="43" width="20.83984375" style="25" hidden="1" customWidth="1"/>
    <col min="44" max="44" width="9.15625" style="25" hidden="1" customWidth="1"/>
    <col min="45" max="45" width="14.15625" style="25" hidden="1" customWidth="1"/>
    <col min="46" max="46" width="19.578125" style="25" hidden="1" customWidth="1"/>
    <col min="47" max="48" width="9.15625" style="25" hidden="1" customWidth="1"/>
    <col min="49" max="49" width="12.578125" style="25" hidden="1" customWidth="1"/>
    <col min="50" max="50" width="14.41796875" style="25" hidden="1" customWidth="1"/>
    <col min="51" max="51" width="19.578125" style="25" hidden="1" customWidth="1"/>
    <col min="52" max="52" width="12" style="25" hidden="1" customWidth="1"/>
    <col min="53" max="53" width="9.15625" style="25" hidden="1" customWidth="1"/>
    <col min="54" max="54" width="13" style="25" hidden="1" customWidth="1"/>
    <col min="55" max="16384" width="9.15625" style="25"/>
  </cols>
  <sheetData>
    <row r="1" spans="3:54">
      <c r="V1" s="309" t="s">
        <v>140</v>
      </c>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row>
    <row r="2" spans="3:54" ht="27">
      <c r="C2" s="23" t="str">
        <f>"Alternativ 1: "&amp;D4</f>
        <v xml:space="preserve">Alternativ 1: </v>
      </c>
      <c r="D2" s="24"/>
    </row>
    <row r="3" spans="3:54" ht="15.75" customHeight="1"/>
    <row r="4" spans="3:54" ht="15.75" customHeight="1">
      <c r="C4" s="107" t="s">
        <v>141</v>
      </c>
      <c r="D4" s="108"/>
      <c r="E4" s="109"/>
      <c r="F4" s="109"/>
      <c r="G4" s="109"/>
      <c r="H4" s="109"/>
      <c r="I4" s="109"/>
      <c r="J4" s="109"/>
      <c r="K4" s="109"/>
      <c r="L4" s="109"/>
      <c r="M4" s="109"/>
      <c r="N4" s="109"/>
      <c r="O4" s="109"/>
      <c r="AB4" s="20" t="s">
        <v>54</v>
      </c>
      <c r="AC4" s="20" t="s">
        <v>55</v>
      </c>
    </row>
    <row r="5" spans="3:54" ht="15.75" customHeight="1">
      <c r="C5" s="109"/>
      <c r="D5" s="109"/>
      <c r="E5" s="109"/>
      <c r="F5" s="109"/>
      <c r="G5" s="109"/>
      <c r="H5" s="109"/>
      <c r="I5" s="109"/>
      <c r="J5" s="109"/>
      <c r="K5" s="109"/>
      <c r="L5" s="109"/>
      <c r="M5" s="109"/>
      <c r="N5" s="109"/>
      <c r="O5" s="109"/>
      <c r="AA5" s="21" t="s">
        <v>56</v>
      </c>
      <c r="AB5" s="26">
        <f>SUM(E19:E22)</f>
        <v>0</v>
      </c>
      <c r="AC5" s="26">
        <f>SUM(F19:F22)</f>
        <v>0</v>
      </c>
    </row>
    <row r="6" spans="3:54" ht="15.75" customHeight="1">
      <c r="C6" s="109"/>
      <c r="D6" s="109"/>
      <c r="E6" s="109"/>
      <c r="F6" s="109"/>
      <c r="G6" s="109"/>
      <c r="H6" s="109"/>
      <c r="I6" s="109"/>
      <c r="J6" s="109"/>
      <c r="K6" s="109"/>
      <c r="L6" s="109"/>
      <c r="M6" s="109"/>
      <c r="N6" s="109"/>
      <c r="O6" s="109"/>
      <c r="AA6" s="21" t="s">
        <v>57</v>
      </c>
      <c r="AB6" s="26">
        <f>SUM(G19:G22)</f>
        <v>0</v>
      </c>
      <c r="AC6" s="26">
        <f>SUM(H19:H22)</f>
        <v>0</v>
      </c>
    </row>
    <row r="7" spans="3:54" ht="15.75" customHeight="1">
      <c r="C7" s="342" t="s">
        <v>142</v>
      </c>
      <c r="D7" s="342"/>
      <c r="E7" s="342"/>
      <c r="F7" s="342"/>
      <c r="G7" s="342"/>
      <c r="H7" s="342"/>
      <c r="I7" s="342"/>
      <c r="J7" s="342"/>
      <c r="K7" s="342"/>
      <c r="L7" s="342"/>
      <c r="M7" s="342"/>
      <c r="N7" s="342"/>
      <c r="O7" s="342"/>
      <c r="AA7" s="21" t="s">
        <v>58</v>
      </c>
      <c r="AB7" s="26">
        <f>SUM(I19:I22)</f>
        <v>0</v>
      </c>
      <c r="AC7" s="26">
        <f>SUM(J19:J22)</f>
        <v>0</v>
      </c>
    </row>
    <row r="8" spans="3:54" ht="30" customHeight="1">
      <c r="C8" s="110" t="s">
        <v>143</v>
      </c>
      <c r="D8" s="352"/>
      <c r="E8" s="353"/>
      <c r="F8" s="353"/>
      <c r="G8" s="353"/>
      <c r="H8" s="353"/>
      <c r="I8" s="353"/>
      <c r="J8" s="353"/>
      <c r="K8" s="353"/>
      <c r="L8" s="353"/>
      <c r="M8" s="353"/>
      <c r="N8" s="353"/>
      <c r="O8" s="354"/>
      <c r="Z8" s="25" t="s">
        <v>144</v>
      </c>
      <c r="AA8" s="21" t="s">
        <v>59</v>
      </c>
      <c r="AB8" s="26">
        <f>SUMIF($D$23:$D$24,$Z$8,E23:E24)+SUMIF($D$23:$D$24,$Z$8,G23:G24)</f>
        <v>0</v>
      </c>
      <c r="AC8" s="26">
        <f>SUMIF($D$23:$D$24,$Z$8,F23:F24)+SUMIF($D$23:$D$24,$Z$8,H23:H24)</f>
        <v>0</v>
      </c>
    </row>
    <row r="9" spans="3:54" ht="30" customHeight="1">
      <c r="C9" s="111" t="s">
        <v>145</v>
      </c>
      <c r="D9" s="352"/>
      <c r="E9" s="353"/>
      <c r="F9" s="353"/>
      <c r="G9" s="353"/>
      <c r="H9" s="353"/>
      <c r="I9" s="353"/>
      <c r="J9" s="353"/>
      <c r="K9" s="353"/>
      <c r="L9" s="353"/>
      <c r="M9" s="353"/>
      <c r="N9" s="353"/>
      <c r="O9" s="354"/>
      <c r="Z9" s="25" t="s">
        <v>146</v>
      </c>
      <c r="AA9" s="21" t="s">
        <v>60</v>
      </c>
      <c r="AB9" s="26">
        <f>SUMIF($D$23:$D$24,$Z$9,E23:E24)+SUMIF($D$23:$D$24,$Z$9,G23:G24)</f>
        <v>0</v>
      </c>
      <c r="AC9" s="26">
        <f>SUMIF($D$23:$D$24,$Z$9,F23:F24)+SUMIF($D$23:$D$24,$Z$9,H23:H24)</f>
        <v>0</v>
      </c>
    </row>
    <row r="10" spans="3:54" ht="30" customHeight="1">
      <c r="C10" s="110" t="s">
        <v>147</v>
      </c>
      <c r="D10" s="352"/>
      <c r="E10" s="353"/>
      <c r="F10" s="353"/>
      <c r="G10" s="353"/>
      <c r="H10" s="353"/>
      <c r="I10" s="353"/>
      <c r="J10" s="353"/>
      <c r="K10" s="353"/>
      <c r="L10" s="353"/>
      <c r="M10" s="353"/>
      <c r="N10" s="353"/>
      <c r="O10" s="354"/>
    </row>
    <row r="11" spans="3:54" ht="30" customHeight="1">
      <c r="C11" s="110" t="s">
        <v>148</v>
      </c>
      <c r="D11" s="352"/>
      <c r="E11" s="353"/>
      <c r="F11" s="353"/>
      <c r="G11" s="353"/>
      <c r="H11" s="353"/>
      <c r="I11" s="353"/>
      <c r="J11" s="353"/>
      <c r="K11" s="353"/>
      <c r="L11" s="353"/>
      <c r="M11" s="353"/>
      <c r="N11" s="353"/>
      <c r="O11" s="354"/>
    </row>
    <row r="12" spans="3:54" ht="15.75" customHeight="1">
      <c r="C12" s="109"/>
      <c r="D12" s="109"/>
      <c r="E12" s="109"/>
      <c r="F12" s="109"/>
      <c r="G12" s="109"/>
      <c r="H12" s="109"/>
      <c r="I12" s="109"/>
      <c r="J12" s="109"/>
      <c r="K12" s="109"/>
      <c r="L12" s="109"/>
      <c r="M12" s="109"/>
      <c r="N12" s="109"/>
      <c r="O12" s="109"/>
    </row>
    <row r="13" spans="3:54" ht="15.75" customHeight="1">
      <c r="C13" s="109"/>
      <c r="D13" s="109"/>
      <c r="E13" s="109"/>
      <c r="F13" s="109"/>
      <c r="G13" s="109"/>
      <c r="H13" s="109"/>
      <c r="I13" s="109"/>
      <c r="J13" s="109"/>
      <c r="K13" s="109"/>
      <c r="L13" s="109"/>
      <c r="M13" s="109"/>
      <c r="N13" s="109"/>
      <c r="O13" s="109"/>
    </row>
    <row r="14" spans="3:54" ht="15.75" customHeight="1">
      <c r="C14" s="173" t="s">
        <v>149</v>
      </c>
      <c r="D14" s="174"/>
      <c r="E14" s="109"/>
      <c r="F14" s="109"/>
      <c r="G14" s="109"/>
      <c r="H14" s="109"/>
      <c r="I14" s="109"/>
      <c r="J14" s="109"/>
      <c r="K14" s="109"/>
      <c r="L14" s="109"/>
      <c r="M14" s="109"/>
      <c r="N14" s="109"/>
      <c r="O14" s="109"/>
    </row>
    <row r="15" spans="3:54" ht="15.75" customHeight="1" thickBot="1">
      <c r="C15" s="175" t="s">
        <v>150</v>
      </c>
      <c r="D15" s="176"/>
      <c r="E15" s="109"/>
      <c r="F15" s="109"/>
      <c r="G15" s="109"/>
      <c r="H15" s="109"/>
      <c r="I15" s="109"/>
      <c r="J15" s="109"/>
      <c r="K15" s="109"/>
      <c r="L15" s="109"/>
      <c r="M15" s="109"/>
      <c r="N15" s="109"/>
      <c r="O15" s="109"/>
    </row>
    <row r="16" spans="3:54" ht="14.1" thickBot="1">
      <c r="C16" s="109"/>
      <c r="D16" s="109"/>
      <c r="E16" s="109"/>
      <c r="F16" s="109"/>
      <c r="G16" s="109"/>
      <c r="H16" s="109"/>
      <c r="I16" s="109"/>
      <c r="J16" s="109"/>
      <c r="K16" s="109"/>
      <c r="L16" s="109"/>
      <c r="M16" s="109"/>
      <c r="N16" s="109"/>
      <c r="O16" s="109"/>
      <c r="AE16" s="27" t="s">
        <v>151</v>
      </c>
      <c r="AF16" s="28"/>
      <c r="AG16" s="28"/>
      <c r="AH16" s="28"/>
      <c r="AI16" s="28"/>
      <c r="AJ16" s="28"/>
      <c r="AK16" s="29"/>
      <c r="AN16" s="330" t="s">
        <v>152</v>
      </c>
      <c r="AO16" s="331"/>
      <c r="AP16" s="331"/>
      <c r="AQ16" s="331"/>
      <c r="AR16" s="331"/>
      <c r="AS16" s="331"/>
      <c r="AT16" s="331"/>
      <c r="AU16" s="331"/>
      <c r="AV16" s="331"/>
      <c r="AW16" s="331"/>
      <c r="AX16" s="331"/>
      <c r="AY16" s="331"/>
      <c r="AZ16" s="331"/>
      <c r="BA16" s="331"/>
      <c r="BB16" s="332"/>
    </row>
    <row r="17" spans="3:54" ht="30" customHeight="1">
      <c r="C17" s="112" t="s">
        <v>153</v>
      </c>
      <c r="D17" s="113" t="s">
        <v>154</v>
      </c>
      <c r="E17" s="347" t="s">
        <v>155</v>
      </c>
      <c r="F17" s="348"/>
      <c r="G17" s="349" t="s">
        <v>156</v>
      </c>
      <c r="H17" s="350"/>
      <c r="I17" s="351" t="s">
        <v>157</v>
      </c>
      <c r="J17" s="296"/>
      <c r="K17" s="343" t="s">
        <v>158</v>
      </c>
      <c r="L17" s="290" t="s">
        <v>159</v>
      </c>
      <c r="M17" s="290"/>
      <c r="N17" s="290"/>
      <c r="O17" s="114" t="s">
        <v>90</v>
      </c>
      <c r="V17" s="27" t="s">
        <v>159</v>
      </c>
      <c r="W17" s="28"/>
      <c r="X17" s="29"/>
      <c r="AG17" s="338" t="s">
        <v>160</v>
      </c>
      <c r="AH17" s="338"/>
      <c r="AI17" s="338"/>
      <c r="AJ17" s="338"/>
      <c r="AK17" s="338"/>
      <c r="AN17" s="339" t="s">
        <v>161</v>
      </c>
      <c r="AO17" s="340"/>
      <c r="AP17" s="340"/>
      <c r="AQ17" s="340"/>
      <c r="AR17" s="341"/>
      <c r="AS17" s="324" t="s">
        <v>162</v>
      </c>
      <c r="AT17" s="325"/>
      <c r="AU17" s="325"/>
      <c r="AV17" s="325"/>
      <c r="AW17" s="326"/>
      <c r="AX17" s="327" t="s">
        <v>157</v>
      </c>
      <c r="AY17" s="328"/>
      <c r="AZ17" s="328"/>
      <c r="BA17" s="328"/>
      <c r="BB17" s="329"/>
    </row>
    <row r="18" spans="3:54" ht="15" customHeight="1" thickBot="1">
      <c r="C18" s="115"/>
      <c r="D18" s="116"/>
      <c r="E18" s="117" t="s">
        <v>54</v>
      </c>
      <c r="F18" s="118" t="s">
        <v>55</v>
      </c>
      <c r="G18" s="118" t="s">
        <v>54</v>
      </c>
      <c r="H18" s="118" t="s">
        <v>55</v>
      </c>
      <c r="I18" s="118" t="s">
        <v>54</v>
      </c>
      <c r="J18" s="118" t="s">
        <v>55</v>
      </c>
      <c r="K18" s="344"/>
      <c r="L18" s="116" t="s">
        <v>4</v>
      </c>
      <c r="M18" s="116" t="s">
        <v>163</v>
      </c>
      <c r="N18" s="119" t="s">
        <v>164</v>
      </c>
      <c r="O18" s="120"/>
      <c r="V18" s="26" t="s">
        <v>165</v>
      </c>
      <c r="W18" s="26"/>
      <c r="X18" s="26" t="s">
        <v>166</v>
      </c>
      <c r="AG18" s="31" t="s">
        <v>167</v>
      </c>
      <c r="AH18" s="31" t="s">
        <v>168</v>
      </c>
      <c r="AI18" s="31" t="s">
        <v>169</v>
      </c>
      <c r="AJ18" s="31" t="s">
        <v>170</v>
      </c>
      <c r="AK18" s="31" t="s">
        <v>171</v>
      </c>
      <c r="AN18" s="32" t="s">
        <v>167</v>
      </c>
      <c r="AO18" s="33" t="s">
        <v>168</v>
      </c>
      <c r="AP18" s="33" t="s">
        <v>169</v>
      </c>
      <c r="AQ18" s="33" t="s">
        <v>170</v>
      </c>
      <c r="AR18" s="34" t="s">
        <v>171</v>
      </c>
      <c r="AS18" s="32" t="s">
        <v>167</v>
      </c>
      <c r="AT18" s="33" t="s">
        <v>168</v>
      </c>
      <c r="AU18" s="33" t="s">
        <v>169</v>
      </c>
      <c r="AV18" s="33" t="s">
        <v>170</v>
      </c>
      <c r="AW18" s="34" t="s">
        <v>171</v>
      </c>
      <c r="AX18" s="35" t="s">
        <v>167</v>
      </c>
      <c r="AY18" s="33" t="s">
        <v>168</v>
      </c>
      <c r="AZ18" s="33" t="s">
        <v>169</v>
      </c>
      <c r="BA18" s="33" t="s">
        <v>170</v>
      </c>
      <c r="BB18" s="34" t="s">
        <v>171</v>
      </c>
    </row>
    <row r="19" spans="3:54">
      <c r="C19" s="121" t="s">
        <v>172</v>
      </c>
      <c r="D19" s="122" t="s">
        <v>173</v>
      </c>
      <c r="E19" s="123"/>
      <c r="F19" s="123"/>
      <c r="G19" s="123"/>
      <c r="H19" s="123"/>
      <c r="I19" s="123"/>
      <c r="J19" s="123"/>
      <c r="K19" s="123"/>
      <c r="L19" s="107" t="str">
        <f t="shared" ref="L19:L24" si="0">IF(VLOOKUP(D19,$AK$133:$AO$151,AN$131,FALSE)=0,"",VLOOKUP(D19,$AK$133:$AO$151,AN$131,FALSE))</f>
        <v/>
      </c>
      <c r="M19" s="123"/>
      <c r="N19" s="124" t="str">
        <f t="shared" ref="N19:N24" si="1">IF(VLOOKUP(D19,$AK$133:$AO$151,AO$131,FALSE)=0,"",VLOOKUP(D19,$AK$133:$AO$151,AO$131,FALSE))</f>
        <v/>
      </c>
      <c r="O19" s="125"/>
      <c r="V19" s="26">
        <f t="shared" ref="V19:V27" si="2">IF(OR(D19=$AK$143,D19=$AK$144),1,0)</f>
        <v>0</v>
      </c>
      <c r="W19" s="26">
        <f t="shared" ref="W19:W27" si="3">IF(D19=$AK$133,0,1)</f>
        <v>0</v>
      </c>
      <c r="X19" s="26">
        <f t="shared" ref="X19:X27" si="4">IF(AND(N19&lt;&gt;"",N19&lt;&gt;$AS$137),1,0)</f>
        <v>0</v>
      </c>
      <c r="AE19" s="26" t="str">
        <f t="shared" ref="AE19:AE24" si="5">VLOOKUP(D19,$AK$133:$AX$151,$AW$131,FALSE)</f>
        <v>tom</v>
      </c>
      <c r="AF19" s="26" t="str">
        <f t="shared" ref="AF19:AF24" si="6">IF(OR(D19=$AK$143,D19=$AK$144),AE19&amp;", "&amp;K19,AE19)</f>
        <v>tom</v>
      </c>
      <c r="AG19" s="38">
        <f>VLOOKUP($AF19,Utslippsdata!$B$20:$H$46,Utslippsdata!C$16,FALSE)</f>
        <v>0</v>
      </c>
      <c r="AH19" s="38">
        <f>VLOOKUP($AF19,Utslippsdata!$B$20:$H$46,Utslippsdata!D$16,FALSE)</f>
        <v>0</v>
      </c>
      <c r="AI19" s="38">
        <f>VLOOKUP($AF19,Utslippsdata!$B$20:$H$46,Utslippsdata!E$16,FALSE)</f>
        <v>0</v>
      </c>
      <c r="AJ19" s="38">
        <f>VLOOKUP($AF19,Utslippsdata!$B$20:$H$46,Utslippsdata!F$16,FALSE)</f>
        <v>0</v>
      </c>
      <c r="AK19" s="38">
        <f>VLOOKUP($AF19,Utslippsdata!$B$20:$H$46,Utslippsdata!G$16,FALSE)</f>
        <v>0</v>
      </c>
      <c r="AM19" s="39" t="str">
        <f>AE19</f>
        <v>tom</v>
      </c>
      <c r="AN19" s="40">
        <f>$F19*AG19</f>
        <v>0</v>
      </c>
      <c r="AO19" s="40">
        <f>$F19*AH19</f>
        <v>0</v>
      </c>
      <c r="AP19" s="40">
        <f>$F19*AI19</f>
        <v>0</v>
      </c>
      <c r="AQ19" s="40">
        <f>$F19*AJ19</f>
        <v>0</v>
      </c>
      <c r="AR19" s="41">
        <f>$F19*AK19</f>
        <v>0</v>
      </c>
      <c r="AS19" s="42">
        <f>$H19*AG19</f>
        <v>0</v>
      </c>
      <c r="AT19" s="43">
        <f>$H19*AH19</f>
        <v>0</v>
      </c>
      <c r="AU19" s="43">
        <f>$H19*AI19</f>
        <v>0</v>
      </c>
      <c r="AV19" s="43">
        <f>$H19*AJ19</f>
        <v>0</v>
      </c>
      <c r="AW19" s="44">
        <f>$H19*AK19</f>
        <v>0</v>
      </c>
      <c r="AX19" s="40">
        <f>$J19*AG19</f>
        <v>0</v>
      </c>
      <c r="AY19" s="40">
        <f t="shared" ref="AY19:BB22" si="7">$J19*AH19</f>
        <v>0</v>
      </c>
      <c r="AZ19" s="40">
        <f t="shared" si="7"/>
        <v>0</v>
      </c>
      <c r="BA19" s="40">
        <f t="shared" si="7"/>
        <v>0</v>
      </c>
      <c r="BB19" s="40">
        <f t="shared" si="7"/>
        <v>0</v>
      </c>
    </row>
    <row r="20" spans="3:54">
      <c r="C20" s="107" t="s">
        <v>174</v>
      </c>
      <c r="D20" s="108" t="s">
        <v>173</v>
      </c>
      <c r="E20" s="123"/>
      <c r="F20" s="123"/>
      <c r="G20" s="123"/>
      <c r="H20" s="123"/>
      <c r="I20" s="123"/>
      <c r="J20" s="123"/>
      <c r="K20" s="123"/>
      <c r="L20" s="107" t="str">
        <f t="shared" si="0"/>
        <v/>
      </c>
      <c r="M20" s="123"/>
      <c r="N20" s="124" t="str">
        <f t="shared" si="1"/>
        <v/>
      </c>
      <c r="O20" s="125"/>
      <c r="V20" s="26">
        <f t="shared" si="2"/>
        <v>0</v>
      </c>
      <c r="W20" s="26">
        <f t="shared" si="3"/>
        <v>0</v>
      </c>
      <c r="X20" s="26">
        <f t="shared" si="4"/>
        <v>0</v>
      </c>
      <c r="AE20" s="26" t="str">
        <f t="shared" si="5"/>
        <v>tom</v>
      </c>
      <c r="AF20" s="26" t="str">
        <f t="shared" si="6"/>
        <v>tom</v>
      </c>
      <c r="AG20" s="38">
        <f>VLOOKUP($AF20,Utslippsdata!$B$20:$H$46,Utslippsdata!C$16,FALSE)</f>
        <v>0</v>
      </c>
      <c r="AH20" s="38">
        <f>VLOOKUP($AF20,Utslippsdata!$B$20:$H$46,Utslippsdata!D$16,FALSE)</f>
        <v>0</v>
      </c>
      <c r="AI20" s="38">
        <f>VLOOKUP($AF20,Utslippsdata!$B$20:$H$46,Utslippsdata!E$16,FALSE)</f>
        <v>0</v>
      </c>
      <c r="AJ20" s="38">
        <f>VLOOKUP($AF20,Utslippsdata!$B$20:$H$46,Utslippsdata!F$16,FALSE)</f>
        <v>0</v>
      </c>
      <c r="AK20" s="38">
        <f>VLOOKUP($AF20,Utslippsdata!$B$20:$H$46,Utslippsdata!G$16,FALSE)</f>
        <v>0</v>
      </c>
      <c r="AM20" s="45" t="str">
        <f t="shared" ref="AM20:AM24" si="8">AE20</f>
        <v>tom</v>
      </c>
      <c r="AN20" s="40">
        <f t="shared" ref="AN20:AN22" si="9">$F20*AG20</f>
        <v>0</v>
      </c>
      <c r="AO20" s="40">
        <f t="shared" ref="AO20:AO22" si="10">$F20*AH20</f>
        <v>0</v>
      </c>
      <c r="AP20" s="40">
        <f t="shared" ref="AP20:AP22" si="11">$F20*AI20</f>
        <v>0</v>
      </c>
      <c r="AQ20" s="40">
        <f t="shared" ref="AQ20:AQ22" si="12">$F20*AJ20</f>
        <v>0</v>
      </c>
      <c r="AR20" s="41">
        <f t="shared" ref="AR20:AR22" si="13">$F20*AK20</f>
        <v>0</v>
      </c>
      <c r="AS20" s="46">
        <f t="shared" ref="AS20:AS22" si="14">$H20*AG20</f>
        <v>0</v>
      </c>
      <c r="AT20" s="40">
        <f t="shared" ref="AT20:AT22" si="15">$H20*AH20</f>
        <v>0</v>
      </c>
      <c r="AU20" s="40">
        <f t="shared" ref="AU20:AU22" si="16">$H20*AI20</f>
        <v>0</v>
      </c>
      <c r="AV20" s="40">
        <f t="shared" ref="AV20:AV22" si="17">$H20*AJ20</f>
        <v>0</v>
      </c>
      <c r="AW20" s="47">
        <f t="shared" ref="AW20:AW22" si="18">$H20*AK20</f>
        <v>0</v>
      </c>
      <c r="AX20" s="40">
        <f t="shared" ref="AX20:AX22" si="19">$J20*AG20</f>
        <v>0</v>
      </c>
      <c r="AY20" s="40">
        <f t="shared" si="7"/>
        <v>0</v>
      </c>
      <c r="AZ20" s="40">
        <f t="shared" si="7"/>
        <v>0</v>
      </c>
      <c r="BA20" s="40">
        <f t="shared" si="7"/>
        <v>0</v>
      </c>
      <c r="BB20" s="40">
        <f t="shared" si="7"/>
        <v>0</v>
      </c>
    </row>
    <row r="21" spans="3:54">
      <c r="C21" s="107" t="s">
        <v>175</v>
      </c>
      <c r="D21" s="108" t="s">
        <v>173</v>
      </c>
      <c r="E21" s="123"/>
      <c r="F21" s="123"/>
      <c r="G21" s="123"/>
      <c r="H21" s="123"/>
      <c r="I21" s="123"/>
      <c r="J21" s="123"/>
      <c r="K21" s="123"/>
      <c r="L21" s="107" t="str">
        <f t="shared" si="0"/>
        <v/>
      </c>
      <c r="M21" s="123"/>
      <c r="N21" s="124" t="str">
        <f t="shared" si="1"/>
        <v/>
      </c>
      <c r="O21" s="125"/>
      <c r="V21" s="26">
        <f t="shared" si="2"/>
        <v>0</v>
      </c>
      <c r="W21" s="26">
        <f t="shared" si="3"/>
        <v>0</v>
      </c>
      <c r="X21" s="26">
        <f t="shared" si="4"/>
        <v>0</v>
      </c>
      <c r="AE21" s="26" t="str">
        <f t="shared" si="5"/>
        <v>tom</v>
      </c>
      <c r="AF21" s="26" t="str">
        <f t="shared" si="6"/>
        <v>tom</v>
      </c>
      <c r="AG21" s="38">
        <f>VLOOKUP($AF21,Utslippsdata!$B$20:$H$46,Utslippsdata!C$16,FALSE)</f>
        <v>0</v>
      </c>
      <c r="AH21" s="38">
        <f>VLOOKUP($AF21,Utslippsdata!$B$20:$H$46,Utslippsdata!D$16,FALSE)</f>
        <v>0</v>
      </c>
      <c r="AI21" s="38">
        <f>VLOOKUP($AF21,Utslippsdata!$B$20:$H$46,Utslippsdata!E$16,FALSE)</f>
        <v>0</v>
      </c>
      <c r="AJ21" s="38">
        <f>VLOOKUP($AF21,Utslippsdata!$B$20:$H$46,Utslippsdata!F$16,FALSE)</f>
        <v>0</v>
      </c>
      <c r="AK21" s="38">
        <f>VLOOKUP($AF21,Utslippsdata!$B$20:$H$46,Utslippsdata!G$16,FALSE)</f>
        <v>0</v>
      </c>
      <c r="AM21" s="45" t="str">
        <f t="shared" si="8"/>
        <v>tom</v>
      </c>
      <c r="AN21" s="40">
        <f t="shared" si="9"/>
        <v>0</v>
      </c>
      <c r="AO21" s="40">
        <f t="shared" si="10"/>
        <v>0</v>
      </c>
      <c r="AP21" s="40">
        <f t="shared" si="11"/>
        <v>0</v>
      </c>
      <c r="AQ21" s="40">
        <f t="shared" si="12"/>
        <v>0</v>
      </c>
      <c r="AR21" s="41">
        <f t="shared" si="13"/>
        <v>0</v>
      </c>
      <c r="AS21" s="46">
        <f t="shared" si="14"/>
        <v>0</v>
      </c>
      <c r="AT21" s="40">
        <f t="shared" si="15"/>
        <v>0</v>
      </c>
      <c r="AU21" s="40">
        <f t="shared" si="16"/>
        <v>0</v>
      </c>
      <c r="AV21" s="40">
        <f t="shared" si="17"/>
        <v>0</v>
      </c>
      <c r="AW21" s="47">
        <f t="shared" si="18"/>
        <v>0</v>
      </c>
      <c r="AX21" s="40">
        <f t="shared" si="19"/>
        <v>0</v>
      </c>
      <c r="AY21" s="40">
        <f t="shared" si="7"/>
        <v>0</v>
      </c>
      <c r="AZ21" s="40">
        <f t="shared" si="7"/>
        <v>0</v>
      </c>
      <c r="BA21" s="40">
        <f t="shared" si="7"/>
        <v>0</v>
      </c>
      <c r="BB21" s="40">
        <f t="shared" si="7"/>
        <v>0</v>
      </c>
    </row>
    <row r="22" spans="3:54">
      <c r="C22" s="107" t="s">
        <v>176</v>
      </c>
      <c r="D22" s="108" t="s">
        <v>173</v>
      </c>
      <c r="E22" s="123"/>
      <c r="F22" s="123"/>
      <c r="G22" s="123"/>
      <c r="H22" s="123"/>
      <c r="I22" s="123"/>
      <c r="J22" s="123"/>
      <c r="K22" s="123"/>
      <c r="L22" s="107" t="str">
        <f t="shared" si="0"/>
        <v/>
      </c>
      <c r="M22" s="123"/>
      <c r="N22" s="124" t="str">
        <f t="shared" si="1"/>
        <v/>
      </c>
      <c r="O22" s="125"/>
      <c r="V22" s="26">
        <f t="shared" si="2"/>
        <v>0</v>
      </c>
      <c r="W22" s="26">
        <f t="shared" si="3"/>
        <v>0</v>
      </c>
      <c r="X22" s="26">
        <f t="shared" si="4"/>
        <v>0</v>
      </c>
      <c r="AE22" s="26" t="str">
        <f t="shared" si="5"/>
        <v>tom</v>
      </c>
      <c r="AF22" s="26" t="str">
        <f t="shared" si="6"/>
        <v>tom</v>
      </c>
      <c r="AG22" s="38">
        <f>VLOOKUP($AF22,Utslippsdata!$B$20:$H$46,Utslippsdata!C$16,FALSE)</f>
        <v>0</v>
      </c>
      <c r="AH22" s="38">
        <f>VLOOKUP($AF22,Utslippsdata!$B$20:$H$46,Utslippsdata!D$16,FALSE)</f>
        <v>0</v>
      </c>
      <c r="AI22" s="38">
        <f>VLOOKUP($AF22,Utslippsdata!$B$20:$H$46,Utslippsdata!E$16,FALSE)</f>
        <v>0</v>
      </c>
      <c r="AJ22" s="38">
        <f>VLOOKUP($AF22,Utslippsdata!$B$20:$H$46,Utslippsdata!F$16,FALSE)</f>
        <v>0</v>
      </c>
      <c r="AK22" s="38">
        <f>VLOOKUP($AF22,Utslippsdata!$B$20:$H$46,Utslippsdata!G$16,FALSE)</f>
        <v>0</v>
      </c>
      <c r="AM22" s="45" t="str">
        <f t="shared" si="8"/>
        <v>tom</v>
      </c>
      <c r="AN22" s="40">
        <f t="shared" si="9"/>
        <v>0</v>
      </c>
      <c r="AO22" s="40">
        <f t="shared" si="10"/>
        <v>0</v>
      </c>
      <c r="AP22" s="40">
        <f t="shared" si="11"/>
        <v>0</v>
      </c>
      <c r="AQ22" s="40">
        <f t="shared" si="12"/>
        <v>0</v>
      </c>
      <c r="AR22" s="41">
        <f t="shared" si="13"/>
        <v>0</v>
      </c>
      <c r="AS22" s="46">
        <f t="shared" si="14"/>
        <v>0</v>
      </c>
      <c r="AT22" s="40">
        <f t="shared" si="15"/>
        <v>0</v>
      </c>
      <c r="AU22" s="40">
        <f t="shared" si="16"/>
        <v>0</v>
      </c>
      <c r="AV22" s="40">
        <f t="shared" si="17"/>
        <v>0</v>
      </c>
      <c r="AW22" s="47">
        <f t="shared" si="18"/>
        <v>0</v>
      </c>
      <c r="AX22" s="40">
        <f t="shared" si="19"/>
        <v>0</v>
      </c>
      <c r="AY22" s="40">
        <f t="shared" si="7"/>
        <v>0</v>
      </c>
      <c r="AZ22" s="40">
        <f t="shared" si="7"/>
        <v>0</v>
      </c>
      <c r="BA22" s="40">
        <f t="shared" si="7"/>
        <v>0</v>
      </c>
      <c r="BB22" s="40">
        <f t="shared" si="7"/>
        <v>0</v>
      </c>
    </row>
    <row r="23" spans="3:54">
      <c r="C23" s="107" t="s">
        <v>177</v>
      </c>
      <c r="D23" s="108" t="s">
        <v>173</v>
      </c>
      <c r="E23" s="123"/>
      <c r="F23" s="123"/>
      <c r="G23" s="123"/>
      <c r="H23" s="123"/>
      <c r="I23" s="123"/>
      <c r="J23" s="123"/>
      <c r="K23" s="123"/>
      <c r="L23" s="107" t="str">
        <f t="shared" si="0"/>
        <v/>
      </c>
      <c r="M23" s="123"/>
      <c r="N23" s="124" t="str">
        <f t="shared" si="1"/>
        <v/>
      </c>
      <c r="O23" s="125"/>
      <c r="V23" s="26">
        <f t="shared" si="2"/>
        <v>0</v>
      </c>
      <c r="W23" s="26">
        <f t="shared" si="3"/>
        <v>0</v>
      </c>
      <c r="X23" s="26">
        <f t="shared" si="4"/>
        <v>0</v>
      </c>
      <c r="AE23" s="26" t="str">
        <f t="shared" si="5"/>
        <v>tom</v>
      </c>
      <c r="AF23" s="26" t="str">
        <f t="shared" si="6"/>
        <v>tom</v>
      </c>
      <c r="AG23" s="38">
        <f>VLOOKUP($AF23,Utslippsdata!$B$20:$H$46,Utslippsdata!C$16,FALSE)</f>
        <v>0</v>
      </c>
      <c r="AH23" s="38">
        <f>VLOOKUP($AF23,Utslippsdata!$B$20:$H$46,Utslippsdata!D$16,FALSE)</f>
        <v>0</v>
      </c>
      <c r="AI23" s="38">
        <f>VLOOKUP($AF23,Utslippsdata!$B$20:$H$46,Utslippsdata!E$16,FALSE)</f>
        <v>0</v>
      </c>
      <c r="AJ23" s="38">
        <f>VLOOKUP($AF23,Utslippsdata!$B$20:$H$46,Utslippsdata!F$16,FALSE)</f>
        <v>0</v>
      </c>
      <c r="AK23" s="38">
        <f>VLOOKUP($AF23,Utslippsdata!$B$20:$H$46,Utslippsdata!G$16,FALSE)</f>
        <v>0</v>
      </c>
      <c r="AM23" s="45" t="str">
        <f t="shared" si="8"/>
        <v>tom</v>
      </c>
      <c r="AN23" s="40">
        <f t="shared" ref="AN23:AR24" si="20">$F23*AG23</f>
        <v>0</v>
      </c>
      <c r="AO23" s="40">
        <f t="shared" si="20"/>
        <v>0</v>
      </c>
      <c r="AP23" s="40">
        <f t="shared" si="20"/>
        <v>0</v>
      </c>
      <c r="AQ23" s="40">
        <f t="shared" si="20"/>
        <v>0</v>
      </c>
      <c r="AR23" s="41">
        <f t="shared" si="20"/>
        <v>0</v>
      </c>
      <c r="AS23" s="46">
        <f t="shared" ref="AS23:AW24" si="21">$H23*AG23</f>
        <v>0</v>
      </c>
      <c r="AT23" s="40">
        <f t="shared" si="21"/>
        <v>0</v>
      </c>
      <c r="AU23" s="40">
        <f t="shared" si="21"/>
        <v>0</v>
      </c>
      <c r="AV23" s="40">
        <f t="shared" si="21"/>
        <v>0</v>
      </c>
      <c r="AW23" s="47">
        <f t="shared" si="21"/>
        <v>0</v>
      </c>
      <c r="AX23" s="40">
        <f t="shared" ref="AX23:BB24" si="22">$J23*AG23</f>
        <v>0</v>
      </c>
      <c r="AY23" s="40">
        <f t="shared" si="22"/>
        <v>0</v>
      </c>
      <c r="AZ23" s="40">
        <f t="shared" si="22"/>
        <v>0</v>
      </c>
      <c r="BA23" s="40">
        <f t="shared" si="22"/>
        <v>0</v>
      </c>
      <c r="BB23" s="40">
        <f t="shared" si="22"/>
        <v>0</v>
      </c>
    </row>
    <row r="24" spans="3:54">
      <c r="C24" s="107" t="s">
        <v>178</v>
      </c>
      <c r="D24" s="108" t="s">
        <v>173</v>
      </c>
      <c r="E24" s="123"/>
      <c r="F24" s="123"/>
      <c r="G24" s="123"/>
      <c r="H24" s="123"/>
      <c r="I24" s="123"/>
      <c r="J24" s="123"/>
      <c r="K24" s="123"/>
      <c r="L24" s="107" t="str">
        <f t="shared" si="0"/>
        <v/>
      </c>
      <c r="M24" s="123"/>
      <c r="N24" s="124" t="str">
        <f t="shared" si="1"/>
        <v/>
      </c>
      <c r="O24" s="125"/>
      <c r="V24" s="26">
        <f t="shared" si="2"/>
        <v>0</v>
      </c>
      <c r="W24" s="26">
        <f t="shared" si="3"/>
        <v>0</v>
      </c>
      <c r="X24" s="26">
        <f t="shared" si="4"/>
        <v>0</v>
      </c>
      <c r="AE24" s="26" t="str">
        <f t="shared" si="5"/>
        <v>tom</v>
      </c>
      <c r="AF24" s="26" t="str">
        <f t="shared" si="6"/>
        <v>tom</v>
      </c>
      <c r="AG24" s="38">
        <f>VLOOKUP($AF24,Utslippsdata!$B$20:$H$46,Utslippsdata!C$16,FALSE)</f>
        <v>0</v>
      </c>
      <c r="AH24" s="38">
        <f>VLOOKUP($AF24,Utslippsdata!$B$20:$H$46,Utslippsdata!D$16,FALSE)</f>
        <v>0</v>
      </c>
      <c r="AI24" s="38">
        <f>VLOOKUP($AF24,Utslippsdata!$B$20:$H$46,Utslippsdata!E$16,FALSE)</f>
        <v>0</v>
      </c>
      <c r="AJ24" s="38">
        <f>VLOOKUP($AF24,Utslippsdata!$B$20:$H$46,Utslippsdata!F$16,FALSE)</f>
        <v>0</v>
      </c>
      <c r="AK24" s="38">
        <f>VLOOKUP($AF24,Utslippsdata!$B$20:$H$46,Utslippsdata!G$16,FALSE)</f>
        <v>0</v>
      </c>
      <c r="AM24" s="45" t="str">
        <f t="shared" si="8"/>
        <v>tom</v>
      </c>
      <c r="AN24" s="40">
        <f t="shared" si="20"/>
        <v>0</v>
      </c>
      <c r="AO24" s="40">
        <f t="shared" si="20"/>
        <v>0</v>
      </c>
      <c r="AP24" s="40">
        <f t="shared" si="20"/>
        <v>0</v>
      </c>
      <c r="AQ24" s="40">
        <f t="shared" si="20"/>
        <v>0</v>
      </c>
      <c r="AR24" s="41">
        <f t="shared" si="20"/>
        <v>0</v>
      </c>
      <c r="AS24" s="46">
        <f>$H24*AG24</f>
        <v>0</v>
      </c>
      <c r="AT24" s="40">
        <f t="shared" si="21"/>
        <v>0</v>
      </c>
      <c r="AU24" s="40">
        <f t="shared" si="21"/>
        <v>0</v>
      </c>
      <c r="AV24" s="40">
        <f t="shared" si="21"/>
        <v>0</v>
      </c>
      <c r="AW24" s="47">
        <f t="shared" si="21"/>
        <v>0</v>
      </c>
      <c r="AX24" s="40">
        <f t="shared" si="22"/>
        <v>0</v>
      </c>
      <c r="AY24" s="40">
        <f t="shared" si="22"/>
        <v>0</v>
      </c>
      <c r="AZ24" s="40">
        <f t="shared" si="22"/>
        <v>0</v>
      </c>
      <c r="BA24" s="40">
        <f t="shared" si="22"/>
        <v>0</v>
      </c>
      <c r="BB24" s="40">
        <f t="shared" si="22"/>
        <v>0</v>
      </c>
    </row>
    <row r="25" spans="3:54" ht="14.4" thickBot="1">
      <c r="C25" s="107" t="s">
        <v>179</v>
      </c>
      <c r="D25" s="107" t="s">
        <v>180</v>
      </c>
      <c r="E25" s="335"/>
      <c r="F25" s="335"/>
      <c r="G25" s="336"/>
      <c r="H25" s="337"/>
      <c r="I25" s="345"/>
      <c r="J25" s="346"/>
      <c r="K25" s="126"/>
      <c r="L25" s="127"/>
      <c r="M25" s="127"/>
      <c r="N25" s="128"/>
      <c r="O25" s="125"/>
      <c r="P25" s="48"/>
      <c r="Q25" s="48"/>
      <c r="T25" s="48"/>
      <c r="U25" s="48"/>
      <c r="V25" s="26">
        <f t="shared" si="2"/>
        <v>0</v>
      </c>
      <c r="W25" s="26">
        <f t="shared" si="3"/>
        <v>1</v>
      </c>
      <c r="X25" s="26">
        <f t="shared" si="4"/>
        <v>0</v>
      </c>
      <c r="AM25" s="49" t="s">
        <v>179</v>
      </c>
      <c r="AN25" s="50">
        <f>$E$25*$E$26*(Utslippsdata!C54+Utslippsdata!C55)+$E$26*Utslippsdata!C56</f>
        <v>0</v>
      </c>
      <c r="AO25" s="51">
        <f>$E$25*$E$26*(Utslippsdata!D54+Utslippsdata!D55)+$E$26*Utslippsdata!D56</f>
        <v>0</v>
      </c>
      <c r="AP25" s="51">
        <f>$E$25*$E$26*(Utslippsdata!E54+Utslippsdata!E55)+$E$26*Utslippsdata!E56</f>
        <v>0</v>
      </c>
      <c r="AQ25" s="51">
        <f>$E$25*$E$26*(Utslippsdata!F54+Utslippsdata!F55)+$E$26*Utslippsdata!F56</f>
        <v>0</v>
      </c>
      <c r="AR25" s="52">
        <f>$E$25*$E$26*(Utslippsdata!G54+Utslippsdata!G55)+$E$26*Utslippsdata!G56</f>
        <v>0</v>
      </c>
      <c r="AS25" s="53">
        <f>$G$25*$G$26*(Utslippsdata!C54+Utslippsdata!C55)+$G$26*Utslippsdata!C56</f>
        <v>0</v>
      </c>
      <c r="AT25" s="51">
        <f>$G$25*$G$26*(Utslippsdata!D54+Utslippsdata!D55)+$G$26*Utslippsdata!D56</f>
        <v>0</v>
      </c>
      <c r="AU25" s="51">
        <f>$G$25*$G$26*(Utslippsdata!E54+Utslippsdata!E55)+$G$26*Utslippsdata!E56</f>
        <v>0</v>
      </c>
      <c r="AV25" s="51">
        <f>$G$25*$G$26*(Utslippsdata!F54+Utslippsdata!F55)+$G$26*Utslippsdata!F56</f>
        <v>0</v>
      </c>
      <c r="AW25" s="54">
        <f>$G$25*$G$26*(Utslippsdata!G54+Utslippsdata!G55)+$G$26*Utslippsdata!G56</f>
        <v>0</v>
      </c>
      <c r="AX25" s="55"/>
      <c r="AY25" s="56"/>
      <c r="AZ25" s="56"/>
      <c r="BA25" s="56"/>
      <c r="BB25" s="57"/>
    </row>
    <row r="26" spans="3:54" ht="14.1" thickBot="1">
      <c r="C26" s="107" t="s">
        <v>181</v>
      </c>
      <c r="D26" s="107" t="s">
        <v>182</v>
      </c>
      <c r="E26" s="335"/>
      <c r="F26" s="335"/>
      <c r="G26" s="336"/>
      <c r="H26" s="337"/>
      <c r="I26" s="129"/>
      <c r="J26" s="130"/>
      <c r="K26" s="131"/>
      <c r="L26" s="109"/>
      <c r="M26" s="109"/>
      <c r="N26" s="132"/>
      <c r="O26" s="125"/>
      <c r="P26" s="48"/>
      <c r="Q26" s="48"/>
      <c r="T26" s="48"/>
      <c r="U26" s="48"/>
      <c r="V26" s="26">
        <f t="shared" si="2"/>
        <v>0</v>
      </c>
      <c r="W26" s="26">
        <f t="shared" si="3"/>
        <v>1</v>
      </c>
      <c r="X26" s="26">
        <f t="shared" si="4"/>
        <v>0</v>
      </c>
      <c r="AM26" s="59" t="s">
        <v>183</v>
      </c>
      <c r="AN26" s="60">
        <f>SUM(AN19:AN25)</f>
        <v>0</v>
      </c>
      <c r="AO26" s="61">
        <f t="shared" ref="AO26:AR26" si="23">SUM(AO19:AO25)</f>
        <v>0</v>
      </c>
      <c r="AP26" s="61">
        <f t="shared" si="23"/>
        <v>0</v>
      </c>
      <c r="AQ26" s="61">
        <f t="shared" si="23"/>
        <v>0</v>
      </c>
      <c r="AR26" s="62">
        <f t="shared" si="23"/>
        <v>0</v>
      </c>
      <c r="AS26" s="60">
        <f>SUM(AS19:AS25)</f>
        <v>0</v>
      </c>
      <c r="AT26" s="61">
        <f t="shared" ref="AT26" si="24">SUM(AT19:AT25)</f>
        <v>0</v>
      </c>
      <c r="AU26" s="61">
        <f t="shared" ref="AU26" si="25">SUM(AU19:AU25)</f>
        <v>0</v>
      </c>
      <c r="AV26" s="61">
        <f t="shared" ref="AV26" si="26">SUM(AV19:AV25)</f>
        <v>0</v>
      </c>
      <c r="AW26" s="62">
        <f t="shared" ref="AW26" si="27">SUM(AW19:AW25)</f>
        <v>0</v>
      </c>
      <c r="AX26" s="60">
        <f>SUM(AX19:AX25)</f>
        <v>0</v>
      </c>
      <c r="AY26" s="61">
        <f t="shared" ref="AY26" si="28">SUM(AY19:AY25)</f>
        <v>0</v>
      </c>
      <c r="AZ26" s="61">
        <f t="shared" ref="AZ26" si="29">SUM(AZ19:AZ25)</f>
        <v>0</v>
      </c>
      <c r="BA26" s="61">
        <f t="shared" ref="BA26" si="30">SUM(BA19:BA25)</f>
        <v>0</v>
      </c>
      <c r="BB26" s="62">
        <f t="shared" ref="BB26" si="31">SUM(BB19:BB25)</f>
        <v>0</v>
      </c>
    </row>
    <row r="27" spans="3:54">
      <c r="C27" s="124" t="s">
        <v>184</v>
      </c>
      <c r="D27" s="133"/>
      <c r="E27" s="400"/>
      <c r="F27" s="401"/>
      <c r="G27" s="336"/>
      <c r="H27" s="337"/>
      <c r="I27" s="336"/>
      <c r="J27" s="337"/>
      <c r="K27" s="134"/>
      <c r="L27" s="135"/>
      <c r="M27" s="135"/>
      <c r="N27" s="136"/>
      <c r="O27" s="125"/>
      <c r="V27" s="26">
        <f t="shared" si="2"/>
        <v>0</v>
      </c>
      <c r="W27" s="26">
        <f t="shared" si="3"/>
        <v>1</v>
      </c>
      <c r="X27" s="26">
        <f t="shared" si="4"/>
        <v>0</v>
      </c>
    </row>
    <row r="28" spans="3:54">
      <c r="C28" s="109"/>
      <c r="D28" s="109"/>
      <c r="E28" s="109"/>
      <c r="F28" s="109"/>
      <c r="G28" s="109"/>
      <c r="H28" s="109"/>
      <c r="I28" s="109"/>
      <c r="J28" s="109"/>
      <c r="K28" s="109"/>
      <c r="L28" s="109"/>
      <c r="M28" s="109"/>
      <c r="N28" s="109"/>
      <c r="O28" s="109"/>
      <c r="AM28" s="26" t="s">
        <v>185</v>
      </c>
      <c r="AN28" s="26"/>
      <c r="AO28" s="26"/>
      <c r="AP28" s="26"/>
      <c r="AQ28" s="26"/>
      <c r="AR28" s="26"/>
      <c r="AS28" s="26"/>
      <c r="AT28" s="26"/>
      <c r="AU28" s="26"/>
      <c r="AV28" s="26"/>
      <c r="AW28" s="26"/>
      <c r="AX28" s="26">
        <f ca="1">YEAR(TODAY())</f>
        <v>2024</v>
      </c>
      <c r="AY28" s="63">
        <f>DATE('Generelt om prosjektet'!C26,1,1)</f>
        <v>45658</v>
      </c>
      <c r="AZ28" s="26">
        <f>YEAR(AY28)</f>
        <v>2025</v>
      </c>
      <c r="BA28" s="26"/>
    </row>
    <row r="29" spans="3:54">
      <c r="C29" s="118" t="s">
        <v>186</v>
      </c>
      <c r="D29" s="118"/>
      <c r="E29" s="118" t="s">
        <v>187</v>
      </c>
      <c r="F29" s="118" t="s">
        <v>164</v>
      </c>
      <c r="G29" s="137" t="s">
        <v>90</v>
      </c>
      <c r="H29" s="138"/>
      <c r="I29" s="138"/>
      <c r="J29" s="117"/>
      <c r="K29" s="109"/>
      <c r="L29" s="109"/>
      <c r="M29" s="109"/>
      <c r="N29" s="109"/>
      <c r="O29" s="109"/>
      <c r="U29" s="25" t="s">
        <v>188</v>
      </c>
      <c r="V29" s="26">
        <f>SUM(E19:F22)</f>
        <v>0</v>
      </c>
      <c r="W29" s="26">
        <f>SUM(G19:H22)</f>
        <v>0</v>
      </c>
      <c r="X29" s="26">
        <f>SUM(I19:J22)</f>
        <v>0</v>
      </c>
      <c r="AM29" s="26" t="s">
        <v>189</v>
      </c>
      <c r="AN29" s="26"/>
      <c r="AO29" s="26"/>
      <c r="AP29" s="26"/>
      <c r="AQ29" s="26"/>
      <c r="AR29" s="26"/>
      <c r="AS29" s="26"/>
      <c r="AT29" s="26"/>
      <c r="AU29" s="26"/>
      <c r="AV29" s="26"/>
      <c r="AW29" s="26"/>
      <c r="AX29" s="26">
        <f ca="1">IF(AZ28&gt;AX28,AZ28,AX28)</f>
        <v>2025</v>
      </c>
      <c r="AY29" s="26"/>
      <c r="AZ29" s="26"/>
      <c r="BA29" s="26"/>
    </row>
    <row r="30" spans="3:54">
      <c r="C30" s="111" t="s">
        <v>190</v>
      </c>
      <c r="D30" s="154" t="s">
        <v>191</v>
      </c>
      <c r="E30" s="270">
        <v>1.95</v>
      </c>
      <c r="F30" s="111" t="s">
        <v>192</v>
      </c>
      <c r="G30" s="397"/>
      <c r="H30" s="398"/>
      <c r="I30" s="398"/>
      <c r="J30" s="399"/>
      <c r="U30" s="25" t="s">
        <v>193</v>
      </c>
      <c r="V30" s="26">
        <f>SUM(E23:H24)</f>
        <v>0</v>
      </c>
      <c r="W30" s="26"/>
      <c r="X30" s="26"/>
      <c r="AM30" s="26" t="s">
        <v>194</v>
      </c>
      <c r="AN30" s="26"/>
      <c r="AO30" s="26"/>
      <c r="AP30" s="26"/>
      <c r="AQ30" s="26"/>
      <c r="AR30" s="26"/>
      <c r="AS30" s="26"/>
      <c r="AT30" s="26"/>
      <c r="AU30" s="26"/>
      <c r="AV30" s="26"/>
      <c r="AW30" s="26"/>
      <c r="AX30" s="63">
        <f>DATE(I27,1,1)</f>
        <v>1</v>
      </c>
      <c r="AY30" s="26"/>
      <c r="AZ30" s="26">
        <f>IF(I27="",0,YEAR(AX30))</f>
        <v>0</v>
      </c>
      <c r="BA30" s="26"/>
    </row>
    <row r="31" spans="3:54">
      <c r="C31" s="109"/>
      <c r="D31" s="109"/>
      <c r="E31" s="109"/>
      <c r="F31" s="109"/>
      <c r="G31" s="378"/>
      <c r="H31" s="378"/>
      <c r="I31" s="378"/>
      <c r="J31" s="378"/>
      <c r="AM31" s="26" t="s">
        <v>195</v>
      </c>
      <c r="AN31" s="26"/>
      <c r="AO31" s="26"/>
      <c r="AP31" s="26"/>
      <c r="AQ31" s="26"/>
      <c r="AR31" s="26"/>
      <c r="AS31" s="26"/>
      <c r="AT31" s="26"/>
      <c r="AU31" s="26"/>
      <c r="AV31" s="26"/>
      <c r="AW31" s="26"/>
      <c r="AX31" s="26">
        <f ca="1">AX29-AZ30</f>
        <v>2025</v>
      </c>
      <c r="AY31" s="26" t="s">
        <v>196</v>
      </c>
      <c r="AZ31" s="26">
        <f>'Generelt om prosjektet'!C24</f>
        <v>50</v>
      </c>
      <c r="BA31" s="26" t="s">
        <v>196</v>
      </c>
    </row>
    <row r="32" spans="3:54">
      <c r="C32" s="109"/>
      <c r="D32" s="109"/>
      <c r="E32" s="109"/>
      <c r="F32" s="109"/>
      <c r="G32" s="378"/>
      <c r="H32" s="378"/>
      <c r="I32" s="378"/>
      <c r="J32" s="378"/>
      <c r="AM32" s="26" t="s">
        <v>197</v>
      </c>
      <c r="AN32" s="26"/>
      <c r="AO32" s="26"/>
      <c r="AP32" s="26"/>
      <c r="AQ32" s="26"/>
      <c r="AR32" s="26"/>
      <c r="AS32" s="26"/>
      <c r="AT32" s="26"/>
      <c r="AU32" s="26"/>
      <c r="AV32" s="26"/>
      <c r="AW32" s="26"/>
      <c r="AX32" s="26">
        <f ca="1">'Generelt om prosjektet'!C24-AX31</f>
        <v>-1975</v>
      </c>
      <c r="AY32" s="26" t="s">
        <v>196</v>
      </c>
      <c r="AZ32" s="26"/>
      <c r="BA32" s="26"/>
    </row>
    <row r="33" spans="3:53" ht="14.1" thickBot="1">
      <c r="C33" s="139" t="s">
        <v>198</v>
      </c>
      <c r="D33" s="118" t="s">
        <v>4</v>
      </c>
      <c r="E33" s="118" t="s">
        <v>199</v>
      </c>
      <c r="F33" s="118" t="s">
        <v>164</v>
      </c>
      <c r="G33" s="137" t="s">
        <v>90</v>
      </c>
      <c r="H33" s="138"/>
      <c r="I33" s="138"/>
      <c r="J33" s="117"/>
      <c r="AE33" s="27" t="s">
        <v>200</v>
      </c>
      <c r="AF33" s="28"/>
      <c r="AG33" s="29"/>
      <c r="AM33" s="26" t="s">
        <v>201</v>
      </c>
      <c r="AX33" s="64">
        <f ca="1">IF($AX$31&lt;$AZ$31,AX26/$AZ$31*$AX$32,0)</f>
        <v>0</v>
      </c>
      <c r="AY33" s="64">
        <f ca="1">IF($AX$31&lt;$AZ$31,AY26/$AZ$31*$AX$32,0)</f>
        <v>0</v>
      </c>
      <c r="AZ33" s="64">
        <f ca="1">IF($AX$31&lt;$AZ$31,AZ26/$AZ$31*$AX$32,0)</f>
        <v>0</v>
      </c>
      <c r="BA33" s="64">
        <f ca="1">IF($AX$31&lt;$AZ$31,BA26/$AZ$31*$AX$32,0)</f>
        <v>0</v>
      </c>
    </row>
    <row r="34" spans="3:53">
      <c r="C34" s="107" t="s">
        <v>202</v>
      </c>
      <c r="D34" s="107" t="s">
        <v>203</v>
      </c>
      <c r="E34" s="140"/>
      <c r="F34" s="107" t="s">
        <v>204</v>
      </c>
      <c r="G34" s="355"/>
      <c r="H34" s="355"/>
      <c r="I34" s="355"/>
      <c r="J34" s="355"/>
      <c r="AE34" s="26"/>
      <c r="AF34" s="26"/>
      <c r="AG34" s="26"/>
      <c r="AI34" s="26" t="s">
        <v>205</v>
      </c>
      <c r="AJ34" s="26">
        <f ca="1">SUMIF($L$19:$M$24,AI34,$M$19:$M$24)</f>
        <v>0</v>
      </c>
      <c r="AK34" s="25" t="s">
        <v>206</v>
      </c>
    </row>
    <row r="35" spans="3:53">
      <c r="C35" s="107" t="s">
        <v>207</v>
      </c>
      <c r="D35" s="107" t="s">
        <v>208</v>
      </c>
      <c r="E35" s="140"/>
      <c r="F35" s="107" t="s">
        <v>204</v>
      </c>
      <c r="G35" s="355"/>
      <c r="H35" s="355"/>
      <c r="I35" s="355"/>
      <c r="J35" s="355"/>
      <c r="AE35" s="26" t="s">
        <v>185</v>
      </c>
      <c r="AF35" s="26">
        <f>'Generelt om prosjektet'!C24</f>
        <v>50</v>
      </c>
      <c r="AG35" s="26"/>
      <c r="AI35" s="26" t="s">
        <v>209</v>
      </c>
      <c r="AJ35" s="26">
        <f t="shared" ref="AJ35:AJ43" ca="1" si="32">SUMIF($L$19:$M$24,AI35,$M$19:$M$24)</f>
        <v>0</v>
      </c>
      <c r="AM35" s="27" t="s">
        <v>210</v>
      </c>
      <c r="AN35" s="28"/>
      <c r="AO35" s="28"/>
      <c r="AP35" s="28"/>
      <c r="AQ35" s="28"/>
      <c r="AR35" s="28"/>
      <c r="AS35" s="28"/>
      <c r="AT35" s="29"/>
    </row>
    <row r="36" spans="3:53">
      <c r="C36" s="107" t="s">
        <v>211</v>
      </c>
      <c r="D36" s="170"/>
      <c r="E36" s="156"/>
      <c r="F36" s="107" t="s">
        <v>204</v>
      </c>
      <c r="G36" s="355"/>
      <c r="H36" s="355"/>
      <c r="I36" s="355"/>
      <c r="J36" s="355"/>
      <c r="AE36" s="26" t="str">
        <f>C34</f>
        <v>Beregnet levert strøm</v>
      </c>
      <c r="AF36" s="38">
        <f>E34*Utslippsdata!C76*$AF$35/1000</f>
        <v>0</v>
      </c>
      <c r="AG36" s="26" t="s">
        <v>212</v>
      </c>
      <c r="AI36" s="26" t="s">
        <v>213</v>
      </c>
      <c r="AJ36" s="26">
        <f t="shared" ca="1" si="32"/>
        <v>0</v>
      </c>
      <c r="AK36" s="25" t="s">
        <v>214</v>
      </c>
      <c r="AM36" s="25">
        <f>'Generelt om prosjektet'!C24</f>
        <v>50</v>
      </c>
      <c r="AN36" s="25" t="s">
        <v>196</v>
      </c>
      <c r="AO36" s="333" t="s">
        <v>215</v>
      </c>
      <c r="AP36" s="333"/>
      <c r="AQ36" s="333"/>
      <c r="AR36" s="333"/>
      <c r="AS36" s="333"/>
      <c r="AT36" s="333"/>
    </row>
    <row r="37" spans="3:53" ht="14.1">
      <c r="C37" s="107" t="s">
        <v>216</v>
      </c>
      <c r="D37" s="107" t="s">
        <v>217</v>
      </c>
      <c r="E37" s="171"/>
      <c r="F37" s="107" t="s">
        <v>218</v>
      </c>
      <c r="G37" s="355"/>
      <c r="H37" s="355"/>
      <c r="I37" s="355"/>
      <c r="J37" s="355"/>
      <c r="AE37" s="26" t="str">
        <f>C35</f>
        <v>Beregnet levert fjernvarme</v>
      </c>
      <c r="AF37" s="38">
        <f>E35*Utslippsdata!C81*$AF$35/1000</f>
        <v>0</v>
      </c>
      <c r="AG37" s="26" t="s">
        <v>212</v>
      </c>
      <c r="AI37" s="26" t="s">
        <v>219</v>
      </c>
      <c r="AJ37" s="26">
        <f t="shared" ca="1" si="32"/>
        <v>0</v>
      </c>
      <c r="AM37" s="65"/>
      <c r="AN37" s="65" t="s">
        <v>220</v>
      </c>
      <c r="AO37" s="66" t="s">
        <v>221</v>
      </c>
      <c r="AP37" s="66" t="s">
        <v>222</v>
      </c>
      <c r="AQ37" s="66" t="s">
        <v>223</v>
      </c>
      <c r="AR37" s="66" t="s">
        <v>224</v>
      </c>
      <c r="AS37" s="66" t="s">
        <v>225</v>
      </c>
      <c r="AT37" s="66" t="s">
        <v>226</v>
      </c>
      <c r="AW37" s="67"/>
    </row>
    <row r="38" spans="3:53" ht="14.1" thickBot="1">
      <c r="C38" s="107" t="s">
        <v>227</v>
      </c>
      <c r="D38" s="107" t="s">
        <v>227</v>
      </c>
      <c r="E38" s="140"/>
      <c r="F38" s="107" t="s">
        <v>228</v>
      </c>
      <c r="G38" s="355"/>
      <c r="H38" s="355"/>
      <c r="I38" s="355"/>
      <c r="J38" s="355"/>
      <c r="V38" s="27" t="s">
        <v>229</v>
      </c>
      <c r="W38" s="28"/>
      <c r="X38" s="28"/>
      <c r="Y38" s="29"/>
      <c r="AE38" s="26" t="str">
        <f>C36</f>
        <v>Annen kilde, spesifiser</v>
      </c>
      <c r="AF38" s="38">
        <f>E36*E37*$AF$35/1000</f>
        <v>0</v>
      </c>
      <c r="AG38" s="26" t="s">
        <v>212</v>
      </c>
      <c r="AI38" s="26" t="s">
        <v>230</v>
      </c>
      <c r="AJ38" s="26">
        <f t="shared" ca="1" si="32"/>
        <v>0</v>
      </c>
      <c r="AK38" s="25" t="s">
        <v>231</v>
      </c>
      <c r="AM38" s="9" t="s">
        <v>232</v>
      </c>
      <c r="AN38" s="9">
        <f t="shared" ref="AN38:AN48" si="33">SUMIF($D$19:$D$24,AM38,$E$19:$E$24)+SUMIF($D$19:$D$24,AM38,$G$19:$G$24)</f>
        <v>0</v>
      </c>
      <c r="AO38" s="14">
        <f>IFERROR(Utslippsdata!C114+800/AN38,0)*AN38</f>
        <v>0</v>
      </c>
      <c r="AP38" s="14">
        <f>IFERROR(120+1600/AN38,0)*AN38</f>
        <v>0</v>
      </c>
      <c r="AQ38" s="14">
        <f>IFERROR(145+2500/AN38,0)*AN38</f>
        <v>0</v>
      </c>
      <c r="AR38" s="14">
        <f>IFERROR(175+4100/AN38,0)*AN38</f>
        <v>0</v>
      </c>
      <c r="AS38" s="14">
        <f>IFERROR(205+5800/AN38,0)*AN38</f>
        <v>0</v>
      </c>
      <c r="AT38" s="14">
        <f>IFERROR(250+8000/AN38,0)*AN38</f>
        <v>0</v>
      </c>
    </row>
    <row r="39" spans="3:53">
      <c r="C39" s="107" t="s">
        <v>233</v>
      </c>
      <c r="D39" s="107" t="s">
        <v>234</v>
      </c>
      <c r="E39" s="140"/>
      <c r="F39" s="107" t="s">
        <v>204</v>
      </c>
      <c r="G39" s="355"/>
      <c r="H39" s="355"/>
      <c r="I39" s="355"/>
      <c r="J39" s="355"/>
      <c r="V39" s="26" t="s">
        <v>235</v>
      </c>
      <c r="W39" s="26"/>
      <c r="X39" s="26"/>
      <c r="Y39" s="26" t="s">
        <v>236</v>
      </c>
      <c r="Z39" s="68"/>
      <c r="AA39" s="69" t="s">
        <v>97</v>
      </c>
      <c r="AB39" s="48"/>
      <c r="AE39" s="26" t="str">
        <f>C39</f>
        <v>Levert strøm fra solceller</v>
      </c>
      <c r="AF39" s="38">
        <f>E39*Utslippsdata!C76*$AF$35/1000</f>
        <v>0</v>
      </c>
      <c r="AG39" s="26" t="s">
        <v>212</v>
      </c>
      <c r="AI39" s="26" t="s">
        <v>237</v>
      </c>
      <c r="AJ39" s="26">
        <f t="shared" ca="1" si="32"/>
        <v>0</v>
      </c>
      <c r="AK39" s="25" t="s">
        <v>238</v>
      </c>
      <c r="AM39" s="9" t="s">
        <v>239</v>
      </c>
      <c r="AN39" s="9">
        <f t="shared" si="33"/>
        <v>0</v>
      </c>
      <c r="AO39" s="14">
        <f>IFERROR(85+600/AN39,0)*AN39</f>
        <v>0</v>
      </c>
      <c r="AP39" s="14">
        <f>IFERROR(95+1000/AN39,0)*AN39</f>
        <v>0</v>
      </c>
      <c r="AQ39" s="14">
        <f>IFERROR(110+1500/AN39,0)*AN39</f>
        <v>0</v>
      </c>
      <c r="AR39" s="14">
        <f>IFERROR(135+2200/AN39,0)*AN39</f>
        <v>0</v>
      </c>
      <c r="AS39" s="14">
        <f>IFERROR(160+3000/AN39,0)*AN39</f>
        <v>0</v>
      </c>
      <c r="AT39" s="14">
        <f>IFERROR(200+4000/AN39,0)*AN39</f>
        <v>0</v>
      </c>
    </row>
    <row r="40" spans="3:53">
      <c r="C40" s="109"/>
      <c r="D40" s="109"/>
      <c r="E40" s="109"/>
      <c r="F40" s="109"/>
      <c r="G40" s="109"/>
      <c r="H40" s="109"/>
      <c r="I40" s="109"/>
      <c r="J40" s="109"/>
      <c r="V40" s="26">
        <f>IF(OR(D19=AK135,D20=AK135,D21=AK135,D22=AK135),1,0)</f>
        <v>0</v>
      </c>
      <c r="W40" s="26"/>
      <c r="X40" s="26">
        <v>1.95</v>
      </c>
      <c r="Y40" s="26">
        <f>IF(E30="",X40,E30)</f>
        <v>1.95</v>
      </c>
      <c r="AA40" s="45" t="s">
        <v>240</v>
      </c>
      <c r="AE40" s="26" t="s">
        <v>241</v>
      </c>
      <c r="AF40" s="38">
        <f>E38*(Utslippsdata!B107+Utslippsdata!C107+Utslippsdata!D107+Utslippsdata!E107+Utslippsdata!F107)/1000</f>
        <v>0</v>
      </c>
      <c r="AG40" s="26" t="s">
        <v>212</v>
      </c>
      <c r="AI40" s="26" t="s">
        <v>242</v>
      </c>
      <c r="AJ40" s="26">
        <f t="shared" ca="1" si="32"/>
        <v>0</v>
      </c>
      <c r="AK40" s="25" t="s">
        <v>243</v>
      </c>
      <c r="AM40" s="9" t="s">
        <v>244</v>
      </c>
      <c r="AN40" s="9">
        <f t="shared" si="33"/>
        <v>0</v>
      </c>
      <c r="AO40" s="70">
        <f>$AN40*Utslippsdata!C118</f>
        <v>0</v>
      </c>
      <c r="AP40" s="70">
        <f>$AN40*Utslippsdata!D118</f>
        <v>0</v>
      </c>
      <c r="AQ40" s="70">
        <f>$AN40*Utslippsdata!E118</f>
        <v>0</v>
      </c>
      <c r="AR40" s="70">
        <f>$AN40*Utslippsdata!F118</f>
        <v>0</v>
      </c>
      <c r="AS40" s="70">
        <f>$AN40*Utslippsdata!G118</f>
        <v>0</v>
      </c>
      <c r="AT40" s="70">
        <f>$AN40*Utslippsdata!H118</f>
        <v>0</v>
      </c>
    </row>
    <row r="41" spans="3:53">
      <c r="C41" s="107" t="s">
        <v>245</v>
      </c>
      <c r="D41" s="108" t="s">
        <v>240</v>
      </c>
      <c r="E41" s="109"/>
      <c r="F41" s="109"/>
      <c r="G41" s="109"/>
      <c r="H41" s="109"/>
      <c r="I41" s="109"/>
      <c r="J41" s="109"/>
      <c r="AA41" s="45" t="s">
        <v>246</v>
      </c>
      <c r="AI41" s="26" t="s">
        <v>247</v>
      </c>
      <c r="AJ41" s="26">
        <f t="shared" ca="1" si="32"/>
        <v>0</v>
      </c>
      <c r="AK41" s="25" t="s">
        <v>248</v>
      </c>
      <c r="AM41" s="9" t="s">
        <v>249</v>
      </c>
      <c r="AN41" s="9">
        <f t="shared" si="33"/>
        <v>0</v>
      </c>
      <c r="AO41" s="70">
        <f>$AN41*Utslippsdata!C119</f>
        <v>0</v>
      </c>
      <c r="AP41" s="70">
        <f>$AN41*Utslippsdata!D119</f>
        <v>0</v>
      </c>
      <c r="AQ41" s="70">
        <f>$AN41*Utslippsdata!E119</f>
        <v>0</v>
      </c>
      <c r="AR41" s="70">
        <f>$AN41*Utslippsdata!F119</f>
        <v>0</v>
      </c>
      <c r="AS41" s="70">
        <f>$AN41*Utslippsdata!G119</f>
        <v>0</v>
      </c>
      <c r="AT41" s="70">
        <f>$AN41*Utslippsdata!H119</f>
        <v>0</v>
      </c>
    </row>
    <row r="42" spans="3:53">
      <c r="C42" s="109"/>
      <c r="D42" s="109"/>
      <c r="E42" s="109"/>
      <c r="F42" s="109"/>
      <c r="G42" s="109"/>
      <c r="H42" s="109"/>
      <c r="I42" s="109"/>
      <c r="J42" s="109"/>
      <c r="AA42" s="45" t="s">
        <v>98</v>
      </c>
      <c r="AE42" s="71" t="s">
        <v>250</v>
      </c>
      <c r="AF42" s="71"/>
      <c r="AI42" s="26" t="s">
        <v>251</v>
      </c>
      <c r="AJ42" s="26">
        <f t="shared" ca="1" si="32"/>
        <v>0</v>
      </c>
      <c r="AK42" s="25" t="s">
        <v>252</v>
      </c>
      <c r="AM42" s="9" t="s">
        <v>253</v>
      </c>
      <c r="AN42" s="9">
        <f t="shared" si="33"/>
        <v>0</v>
      </c>
      <c r="AO42" s="70">
        <f>$AN42*Utslippsdata!C120</f>
        <v>0</v>
      </c>
      <c r="AP42" s="70">
        <f>$AN42*Utslippsdata!D120</f>
        <v>0</v>
      </c>
      <c r="AQ42" s="70">
        <f>$AN42*Utslippsdata!E120</f>
        <v>0</v>
      </c>
      <c r="AR42" s="70">
        <f>$AN42*Utslippsdata!F120</f>
        <v>0</v>
      </c>
      <c r="AS42" s="70">
        <f>$AN42*Utslippsdata!G120</f>
        <v>0</v>
      </c>
      <c r="AT42" s="70">
        <f>$AN42*Utslippsdata!H120</f>
        <v>0</v>
      </c>
    </row>
    <row r="43" spans="3:53">
      <c r="C43" s="118" t="s">
        <v>254</v>
      </c>
      <c r="D43" s="118"/>
      <c r="E43" s="118" t="s">
        <v>255</v>
      </c>
      <c r="F43" s="137" t="s">
        <v>90</v>
      </c>
      <c r="G43" s="138"/>
      <c r="H43" s="138"/>
      <c r="I43" s="138"/>
      <c r="J43" s="117"/>
      <c r="AA43" s="72"/>
      <c r="AE43" s="71" t="s">
        <v>256</v>
      </c>
      <c r="AF43" s="71"/>
      <c r="AI43" s="26" t="s">
        <v>257</v>
      </c>
      <c r="AJ43" s="26">
        <f t="shared" ca="1" si="32"/>
        <v>0</v>
      </c>
      <c r="AM43" s="9" t="s">
        <v>258</v>
      </c>
      <c r="AN43" s="9">
        <f t="shared" si="33"/>
        <v>0</v>
      </c>
      <c r="AO43" s="70">
        <f>$AN43*Utslippsdata!C121</f>
        <v>0</v>
      </c>
      <c r="AP43" s="70">
        <f>$AN43*Utslippsdata!D121</f>
        <v>0</v>
      </c>
      <c r="AQ43" s="70">
        <f>$AN43*Utslippsdata!E121</f>
        <v>0</v>
      </c>
      <c r="AR43" s="70">
        <f>$AN43*Utslippsdata!F121</f>
        <v>0</v>
      </c>
      <c r="AS43" s="70">
        <f>$AN43*Utslippsdata!G121</f>
        <v>0</v>
      </c>
      <c r="AT43" s="70">
        <f>$AN43*Utslippsdata!H121</f>
        <v>0</v>
      </c>
    </row>
    <row r="44" spans="3:53" ht="14.25" customHeight="1">
      <c r="C44" s="124" t="s">
        <v>259</v>
      </c>
      <c r="D44" s="133"/>
      <c r="E44" s="108" t="s">
        <v>260</v>
      </c>
      <c r="F44" s="355"/>
      <c r="G44" s="355"/>
      <c r="H44" s="355"/>
      <c r="I44" s="355"/>
      <c r="J44" s="355"/>
      <c r="V44" s="71" t="s">
        <v>261</v>
      </c>
      <c r="AA44" s="72"/>
      <c r="AE44" s="38">
        <f>D54*Utslippsdata!C146</f>
        <v>0</v>
      </c>
      <c r="AF44" s="26" t="s">
        <v>262</v>
      </c>
      <c r="AM44" s="9" t="s">
        <v>263</v>
      </c>
      <c r="AN44" s="9">
        <f t="shared" si="33"/>
        <v>0</v>
      </c>
      <c r="AO44" s="70">
        <f>$AN44*Utslippsdata!C122</f>
        <v>0</v>
      </c>
      <c r="AP44" s="70">
        <f>$AN44*Utslippsdata!D122</f>
        <v>0</v>
      </c>
      <c r="AQ44" s="70">
        <f>$AN44*Utslippsdata!E122</f>
        <v>0</v>
      </c>
      <c r="AR44" s="70">
        <f>$AN44*Utslippsdata!F122</f>
        <v>0</v>
      </c>
      <c r="AS44" s="70">
        <f>$AN44*Utslippsdata!G122</f>
        <v>0</v>
      </c>
      <c r="AT44" s="70">
        <f>$AN44*Utslippsdata!H122</f>
        <v>0</v>
      </c>
    </row>
    <row r="45" spans="3:53">
      <c r="C45" s="14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109"/>
      <c r="E45" s="109"/>
      <c r="F45" s="109"/>
      <c r="G45" s="109"/>
      <c r="H45" s="109"/>
      <c r="I45" s="109"/>
      <c r="J45" s="109"/>
      <c r="V45" s="26" t="s">
        <v>264</v>
      </c>
      <c r="AA45" s="45" t="s">
        <v>265</v>
      </c>
      <c r="AE45" s="38">
        <f>D55*Utslippsdata!C147</f>
        <v>0</v>
      </c>
      <c r="AF45" s="26" t="s">
        <v>262</v>
      </c>
      <c r="AI45" s="25" t="s">
        <v>266</v>
      </c>
      <c r="AJ45" s="25">
        <v>1.95</v>
      </c>
      <c r="AM45" s="9" t="s">
        <v>267</v>
      </c>
      <c r="AN45" s="9">
        <f t="shared" si="33"/>
        <v>0</v>
      </c>
      <c r="AO45" s="70">
        <f>$AN45*Utslippsdata!C123</f>
        <v>0</v>
      </c>
      <c r="AP45" s="70">
        <f>$AN45*Utslippsdata!D123</f>
        <v>0</v>
      </c>
      <c r="AQ45" s="70">
        <f>$AN45*Utslippsdata!E123</f>
        <v>0</v>
      </c>
      <c r="AR45" s="70">
        <f>$AN45*Utslippsdata!F123</f>
        <v>0</v>
      </c>
      <c r="AS45" s="70">
        <f>$AN45*Utslippsdata!G123</f>
        <v>0</v>
      </c>
      <c r="AT45" s="70">
        <f>$AN45*Utslippsdata!H123</f>
        <v>0</v>
      </c>
    </row>
    <row r="46" spans="3:53" ht="15" customHeight="1">
      <c r="C46" s="141" t="str">
        <f>IF(E44=Nei,"","*Hvis ja skal materialutslipp fra solceller, inverter, kabler, festesystem og ballast inkluderes i A1-A3, A4, A5, B1-B5 (antatt 30 år levetid) og C1-C4 inkluderes i resultattabell under")</f>
        <v/>
      </c>
      <c r="D46" s="109"/>
      <c r="E46" s="109"/>
      <c r="F46" s="109"/>
      <c r="G46" s="109"/>
      <c r="H46" s="109"/>
      <c r="I46" s="109"/>
      <c r="J46" s="109"/>
      <c r="V46" s="26">
        <f>IF(E38&gt;0,1,0)</f>
        <v>0</v>
      </c>
      <c r="AA46" s="45" t="s">
        <v>268</v>
      </c>
      <c r="AE46" s="38">
        <f>D56*Utslippsdata!C148</f>
        <v>0</v>
      </c>
      <c r="AF46" s="26" t="s">
        <v>262</v>
      </c>
      <c r="AI46" s="25" t="s">
        <v>269</v>
      </c>
      <c r="AJ46" s="25">
        <f>IF((OR(E30=0,E30="")),AJ45,E30)</f>
        <v>1.95</v>
      </c>
      <c r="AM46" s="9" t="s">
        <v>270</v>
      </c>
      <c r="AN46" s="9">
        <f t="shared" si="33"/>
        <v>0</v>
      </c>
      <c r="AO46" s="70">
        <f>$AN46*Utslippsdata!C124</f>
        <v>0</v>
      </c>
      <c r="AP46" s="70">
        <f>$AN46*Utslippsdata!D124</f>
        <v>0</v>
      </c>
      <c r="AQ46" s="70">
        <f>$AN46*Utslippsdata!E124</f>
        <v>0</v>
      </c>
      <c r="AR46" s="70">
        <f>$AN46*Utslippsdata!F124</f>
        <v>0</v>
      </c>
      <c r="AS46" s="70">
        <f>$AN46*Utslippsdata!G124</f>
        <v>0</v>
      </c>
      <c r="AT46" s="70">
        <f>$AN46*Utslippsdata!H124</f>
        <v>0</v>
      </c>
    </row>
    <row r="47" spans="3:53" ht="15" customHeight="1" thickBot="1">
      <c r="C47" s="109"/>
      <c r="D47" s="109"/>
      <c r="E47" s="109"/>
      <c r="F47" s="109"/>
      <c r="G47" s="109"/>
      <c r="H47" s="109"/>
      <c r="I47" s="109"/>
      <c r="J47" s="109"/>
      <c r="AA47" s="73" t="s">
        <v>260</v>
      </c>
      <c r="AE47" s="38">
        <f>D57*Utslippsdata!C149</f>
        <v>0</v>
      </c>
      <c r="AF47" s="26" t="s">
        <v>262</v>
      </c>
      <c r="AI47"/>
      <c r="AM47" s="9" t="s">
        <v>271</v>
      </c>
      <c r="AN47" s="9">
        <f t="shared" si="33"/>
        <v>0</v>
      </c>
      <c r="AO47" s="70">
        <f>$AN47*Utslippsdata!C125</f>
        <v>0</v>
      </c>
      <c r="AP47" s="70">
        <f>$AN47*Utslippsdata!D125</f>
        <v>0</v>
      </c>
      <c r="AQ47" s="70">
        <f>$AN47*Utslippsdata!E125</f>
        <v>0</v>
      </c>
      <c r="AR47" s="70">
        <f>$AN47*Utslippsdata!F125</f>
        <v>0</v>
      </c>
      <c r="AS47" s="70">
        <f>$AN47*Utslippsdata!G125</f>
        <v>0</v>
      </c>
      <c r="AT47" s="70">
        <f>$AN47*Utslippsdata!H125</f>
        <v>0</v>
      </c>
    </row>
    <row r="48" spans="3:53" ht="15" customHeight="1">
      <c r="C48" s="139" t="s">
        <v>272</v>
      </c>
      <c r="D48" s="389" t="s">
        <v>273</v>
      </c>
      <c r="E48" s="390" t="s">
        <v>274</v>
      </c>
      <c r="F48" s="390" t="s">
        <v>164</v>
      </c>
      <c r="G48" s="390" t="s">
        <v>275</v>
      </c>
      <c r="H48" s="390" t="s">
        <v>90</v>
      </c>
      <c r="I48" s="390"/>
      <c r="J48" s="390"/>
      <c r="AE48" s="194">
        <f>SUM(AE44:AE47)/1000</f>
        <v>0</v>
      </c>
      <c r="AF48" s="66" t="s">
        <v>212</v>
      </c>
      <c r="AI48" s="26" t="s">
        <v>276</v>
      </c>
      <c r="AJ48" s="26">
        <f ca="1">ROUND(AJ35*AJ46+AJ39,0)</f>
        <v>0</v>
      </c>
      <c r="AK48" s="25" t="s">
        <v>238</v>
      </c>
      <c r="AM48" s="9" t="s">
        <v>277</v>
      </c>
      <c r="AN48" s="9">
        <f t="shared" si="33"/>
        <v>0</v>
      </c>
      <c r="AO48" s="70">
        <f>$AN48*Utslippsdata!C126</f>
        <v>0</v>
      </c>
      <c r="AP48" s="70">
        <f>$AN48*Utslippsdata!D126</f>
        <v>0</v>
      </c>
      <c r="AQ48" s="70">
        <f>$AN48*Utslippsdata!E126</f>
        <v>0</v>
      </c>
      <c r="AR48" s="70">
        <f>$AN48*Utslippsdata!F126</f>
        <v>0</v>
      </c>
      <c r="AS48" s="70">
        <f>$AN48*Utslippsdata!G126</f>
        <v>0</v>
      </c>
      <c r="AT48" s="70">
        <f>$AN48*Utslippsdata!H126</f>
        <v>0</v>
      </c>
    </row>
    <row r="49" spans="3:46" ht="14.4">
      <c r="C49" s="118" t="s">
        <v>278</v>
      </c>
      <c r="D49" s="389"/>
      <c r="E49" s="390"/>
      <c r="F49" s="390"/>
      <c r="G49" s="390"/>
      <c r="H49" s="390"/>
      <c r="I49" s="390"/>
      <c r="J49" s="390"/>
      <c r="M49" s="48"/>
      <c r="N49" s="48"/>
      <c r="O49" s="48"/>
      <c r="P49" s="48"/>
      <c r="Q49" s="48"/>
      <c r="R49" s="48"/>
      <c r="S49" s="48"/>
      <c r="T49" s="48"/>
      <c r="U49" s="48"/>
      <c r="AI49"/>
      <c r="AM49" s="74" t="s">
        <v>183</v>
      </c>
      <c r="AN49" s="74"/>
      <c r="AO49" s="75">
        <f>SUM(AO38:AO48)</f>
        <v>0</v>
      </c>
      <c r="AP49" s="75">
        <f t="shared" ref="AP49:AT49" si="34">SUM(AP38:AP48)</f>
        <v>0</v>
      </c>
      <c r="AQ49" s="75">
        <f t="shared" si="34"/>
        <v>0</v>
      </c>
      <c r="AR49" s="75">
        <f t="shared" si="34"/>
        <v>0</v>
      </c>
      <c r="AS49" s="75">
        <f t="shared" si="34"/>
        <v>0</v>
      </c>
      <c r="AT49" s="75">
        <f t="shared" si="34"/>
        <v>0</v>
      </c>
    </row>
    <row r="50" spans="3:46" ht="14.1">
      <c r="C50" s="107" t="s">
        <v>279</v>
      </c>
      <c r="D50" s="108">
        <v>50</v>
      </c>
      <c r="E50" s="140">
        <v>0</v>
      </c>
      <c r="F50" s="107" t="s">
        <v>280</v>
      </c>
      <c r="G50" s="108" t="s">
        <v>281</v>
      </c>
      <c r="H50" s="355"/>
      <c r="I50" s="355"/>
      <c r="J50" s="355"/>
      <c r="M50" s="48"/>
      <c r="N50" s="48"/>
      <c r="O50" s="48"/>
      <c r="P50" s="48"/>
      <c r="Q50" s="48"/>
      <c r="R50" s="48"/>
      <c r="S50" s="48"/>
      <c r="T50" s="48"/>
      <c r="U50" s="48"/>
      <c r="V50" s="27" t="s">
        <v>282</v>
      </c>
      <c r="W50" s="28"/>
      <c r="X50" s="28"/>
      <c r="Y50" s="28"/>
      <c r="Z50" s="28"/>
      <c r="AA50" s="29"/>
      <c r="AE50" s="71" t="s">
        <v>283</v>
      </c>
      <c r="AF50" s="71"/>
      <c r="AI50" s="26" t="str">
        <f ca="1">AJ34&amp;" "&amp;AK34</f>
        <v xml:space="preserve">0 arbeidsplasser, </v>
      </c>
      <c r="AJ50" s="25" t="str">
        <f ca="1">IF(AJ34=0,"",AI50)</f>
        <v/>
      </c>
      <c r="AM50" s="76" t="s">
        <v>284</v>
      </c>
      <c r="AN50" s="76"/>
      <c r="AO50" s="77">
        <f>AO49*$AM$36*Utslippsdata!$C$76/1000</f>
        <v>0</v>
      </c>
      <c r="AP50" s="77">
        <f>AP49*$AM$36*Utslippsdata!$C$76/1000</f>
        <v>0</v>
      </c>
      <c r="AQ50" s="77">
        <f>AQ49*$AM$36*Utslippsdata!$C$76/1000</f>
        <v>0</v>
      </c>
      <c r="AR50" s="77">
        <f>AR49*$AM$36*Utslippsdata!$C$76/1000</f>
        <v>0</v>
      </c>
      <c r="AS50" s="77">
        <f>AS49*$AM$36*Utslippsdata!$C$76/1000</f>
        <v>0</v>
      </c>
      <c r="AT50" s="77">
        <f>AT49*$AM$36*Utslippsdata!$C$76/1000</f>
        <v>0</v>
      </c>
    </row>
    <row r="51" spans="3:46">
      <c r="C51" s="107" t="s">
        <v>285</v>
      </c>
      <c r="D51" s="108">
        <v>50</v>
      </c>
      <c r="E51" s="140">
        <v>0</v>
      </c>
      <c r="F51" s="107" t="s">
        <v>280</v>
      </c>
      <c r="G51" s="108" t="s">
        <v>281</v>
      </c>
      <c r="H51" s="356"/>
      <c r="I51" s="357"/>
      <c r="J51" s="358"/>
      <c r="N51" s="48"/>
      <c r="V51" s="78">
        <v>1</v>
      </c>
      <c r="W51" s="78">
        <v>2</v>
      </c>
      <c r="X51" s="78">
        <v>3</v>
      </c>
      <c r="Y51" s="78">
        <v>4</v>
      </c>
      <c r="Z51" s="78">
        <v>5</v>
      </c>
      <c r="AE51" s="26">
        <f>D60*(Utslippsdata!C133+Utslippsdata!$C$136)</f>
        <v>0</v>
      </c>
      <c r="AF51" s="26" t="s">
        <v>262</v>
      </c>
      <c r="AI51" s="26" t="str">
        <f ca="1">AJ36&amp;" "&amp;AK36</f>
        <v xml:space="preserve">0 elevplasser, </v>
      </c>
      <c r="AJ51" s="25" t="str">
        <f ca="1">IF(AJ36=0,"",AI51)</f>
        <v/>
      </c>
    </row>
    <row r="52" spans="3:46">
      <c r="C52" s="109"/>
      <c r="D52" s="109"/>
      <c r="E52" s="109"/>
      <c r="F52" s="109"/>
      <c r="G52" s="109"/>
      <c r="H52" s="109"/>
      <c r="I52" s="109"/>
      <c r="J52" s="109"/>
      <c r="N52" s="48"/>
      <c r="V52" s="36" t="s">
        <v>275</v>
      </c>
      <c r="W52" s="36"/>
      <c r="AE52" s="26">
        <f>D61*(Utslippsdata!C134+Utslippsdata!$C$136)</f>
        <v>0</v>
      </c>
      <c r="AF52" s="26" t="s">
        <v>262</v>
      </c>
      <c r="AI52" s="26" t="str">
        <f ca="1">AJ38&amp;" "&amp;AK38</f>
        <v xml:space="preserve">0 beboere på sykehjem, </v>
      </c>
      <c r="AJ52" s="25" t="str">
        <f ca="1">IF(AJ38=0,"",AI52)</f>
        <v/>
      </c>
    </row>
    <row r="53" spans="3:46">
      <c r="C53" s="118" t="s">
        <v>286</v>
      </c>
      <c r="D53" s="118" t="s">
        <v>287</v>
      </c>
      <c r="E53" s="118" t="s">
        <v>164</v>
      </c>
      <c r="F53" s="137" t="s">
        <v>90</v>
      </c>
      <c r="G53" s="138"/>
      <c r="H53" s="138"/>
      <c r="I53" s="138"/>
      <c r="J53" s="117"/>
      <c r="N53" s="48"/>
      <c r="V53" s="26" t="s">
        <v>281</v>
      </c>
      <c r="W53" s="26"/>
      <c r="Z53" s="79">
        <f>Z54</f>
        <v>0.13887096774193547</v>
      </c>
      <c r="AA53" s="26" t="s">
        <v>288</v>
      </c>
      <c r="AE53" s="26">
        <f>D62*(Utslippsdata!C135+Utslippsdata!$C$136)</f>
        <v>0</v>
      </c>
      <c r="AF53" s="26" t="s">
        <v>262</v>
      </c>
      <c r="AI53" s="26" t="str">
        <f ca="1">AJ40&amp;" "&amp;AK40</f>
        <v xml:space="preserve">0 plasser for barn, </v>
      </c>
      <c r="AJ53" s="25" t="str">
        <f ca="1">IF(AJ40=0,"",AI53)</f>
        <v/>
      </c>
    </row>
    <row r="54" spans="3:46">
      <c r="C54" s="107" t="s">
        <v>289</v>
      </c>
      <c r="D54" s="108"/>
      <c r="E54" s="108" t="s">
        <v>228</v>
      </c>
      <c r="F54" s="356"/>
      <c r="G54" s="357"/>
      <c r="H54" s="357"/>
      <c r="I54" s="357"/>
      <c r="J54" s="358"/>
      <c r="N54" s="48"/>
      <c r="V54" s="26" t="s">
        <v>290</v>
      </c>
      <c r="W54" s="26">
        <v>2.87</v>
      </c>
      <c r="X54" s="25" t="s">
        <v>291</v>
      </c>
      <c r="Z54" s="80">
        <f>W59*W54/W58</f>
        <v>0.13887096774193547</v>
      </c>
      <c r="AA54" s="26" t="s">
        <v>288</v>
      </c>
      <c r="AE54" s="26">
        <f>D63*Utslippsdata!C136</f>
        <v>0</v>
      </c>
      <c r="AF54" s="26" t="s">
        <v>262</v>
      </c>
      <c r="AI54" s="26" t="str">
        <f ca="1">AJ41&amp;" "&amp;AK41</f>
        <v xml:space="preserve">0 besøkende pr år, </v>
      </c>
      <c r="AJ54" s="25" t="str">
        <f ca="1">IF(AJ41=0,"",AI54)</f>
        <v/>
      </c>
    </row>
    <row r="55" spans="3:46">
      <c r="C55" s="107" t="s">
        <v>292</v>
      </c>
      <c r="D55" s="108"/>
      <c r="E55" s="108" t="s">
        <v>228</v>
      </c>
      <c r="F55" s="356"/>
      <c r="G55" s="357"/>
      <c r="H55" s="357"/>
      <c r="I55" s="357"/>
      <c r="J55" s="358"/>
      <c r="N55" s="48"/>
      <c r="V55" s="26" t="s">
        <v>293</v>
      </c>
      <c r="W55" s="26"/>
      <c r="Z55" s="80">
        <f>W59*W60*Utslippsdata!C78/W58</f>
        <v>5.0112597937020005E-3</v>
      </c>
      <c r="AA55" s="26" t="s">
        <v>288</v>
      </c>
      <c r="AE55" s="26">
        <f>D64*Utslippsdata!C140</f>
        <v>0</v>
      </c>
      <c r="AF55" s="26" t="s">
        <v>262</v>
      </c>
      <c r="AI55" s="26" t="str">
        <f ca="1">AJ42&amp;" "&amp;AK42</f>
        <v xml:space="preserve">0 hotellsenger, </v>
      </c>
      <c r="AJ55" s="25" t="str">
        <f ca="1">IF(AJ42=0,"",AI55)</f>
        <v/>
      </c>
    </row>
    <row r="56" spans="3:46">
      <c r="C56" s="107" t="s">
        <v>294</v>
      </c>
      <c r="D56" s="108"/>
      <c r="E56" s="108" t="s">
        <v>228</v>
      </c>
      <c r="F56" s="356"/>
      <c r="G56" s="357"/>
      <c r="H56" s="357"/>
      <c r="I56" s="357"/>
      <c r="J56" s="358"/>
      <c r="N56" s="48"/>
      <c r="V56" s="26" t="s">
        <v>295</v>
      </c>
      <c r="W56" s="26">
        <v>1.462518</v>
      </c>
      <c r="X56" s="25" t="s">
        <v>296</v>
      </c>
      <c r="Z56" s="80">
        <f>W61*W63*W56/W58</f>
        <v>7.2654119999999989E-2</v>
      </c>
      <c r="AA56" s="26" t="s">
        <v>288</v>
      </c>
      <c r="AE56" s="26">
        <f>D65*Utslippsdata!C141</f>
        <v>0</v>
      </c>
      <c r="AF56" s="26" t="s">
        <v>262</v>
      </c>
      <c r="AI56" s="200" t="str">
        <f ca="1">AJ48&amp;" "&amp;AK48</f>
        <v xml:space="preserve">0 bosatte, </v>
      </c>
      <c r="AJ56" s="25" t="str">
        <f ca="1">IF(AJ48=0,"",AI56)</f>
        <v/>
      </c>
      <c r="AN56" s="27" t="s">
        <v>297</v>
      </c>
      <c r="AO56" s="28"/>
      <c r="AP56" s="28"/>
      <c r="AQ56" s="28"/>
      <c r="AR56" s="29"/>
    </row>
    <row r="57" spans="3:46">
      <c r="C57" s="107" t="s">
        <v>298</v>
      </c>
      <c r="D57" s="108"/>
      <c r="E57" s="108" t="s">
        <v>228</v>
      </c>
      <c r="F57" s="356"/>
      <c r="G57" s="357"/>
      <c r="H57" s="357"/>
      <c r="I57" s="357"/>
      <c r="J57" s="358"/>
      <c r="N57" s="48"/>
      <c r="AE57" s="26">
        <f>D66*Utslippsdata!C142</f>
        <v>0</v>
      </c>
      <c r="AF57" s="26" t="s">
        <v>262</v>
      </c>
      <c r="AI57" s="74" t="str">
        <f ca="1">AJ50&amp;AJ51&amp;AJ52&amp;AJ53&amp;AJ54&amp;AJ55&amp;AJ56</f>
        <v/>
      </c>
      <c r="AJ57" s="74"/>
    </row>
    <row r="58" spans="3:46" ht="14.1">
      <c r="C58" s="109"/>
      <c r="D58" s="109"/>
      <c r="E58" s="109"/>
      <c r="F58" s="109"/>
      <c r="G58" s="109"/>
      <c r="H58" s="109"/>
      <c r="I58" s="109"/>
      <c r="J58" s="109"/>
      <c r="N58" s="48"/>
      <c r="V58" s="26" t="s">
        <v>299</v>
      </c>
      <c r="W58" s="26">
        <v>9.3000000000000007</v>
      </c>
      <c r="X58" s="26" t="s">
        <v>300</v>
      </c>
      <c r="AE58" s="66">
        <f>SUM(AE51:AE57)/1000</f>
        <v>0</v>
      </c>
      <c r="AF58" s="66" t="s">
        <v>212</v>
      </c>
      <c r="AI58" s="74">
        <f ca="1">AJ34+AJ36+AJ38+AJ40+AJ41+AJ42+AJ48</f>
        <v>0</v>
      </c>
      <c r="AJ58" s="74" t="s">
        <v>301</v>
      </c>
    </row>
    <row r="59" spans="3:46">
      <c r="C59" s="118" t="s">
        <v>302</v>
      </c>
      <c r="D59" s="118" t="s">
        <v>303</v>
      </c>
      <c r="E59" s="118" t="s">
        <v>164</v>
      </c>
      <c r="F59" s="137" t="s">
        <v>90</v>
      </c>
      <c r="G59" s="138"/>
      <c r="H59" s="138"/>
      <c r="I59" s="138"/>
      <c r="J59" s="117"/>
      <c r="N59" s="48"/>
      <c r="V59" s="26" t="s">
        <v>304</v>
      </c>
      <c r="W59" s="26">
        <f>0.45</f>
        <v>0.45</v>
      </c>
      <c r="X59" s="26" t="s">
        <v>305</v>
      </c>
      <c r="Y59" s="26" t="s">
        <v>306</v>
      </c>
      <c r="Z59" s="26" t="s">
        <v>307</v>
      </c>
    </row>
    <row r="60" spans="3:46">
      <c r="C60" s="107" t="s">
        <v>308</v>
      </c>
      <c r="D60" s="108"/>
      <c r="E60" s="108" t="s">
        <v>228</v>
      </c>
      <c r="F60" s="356"/>
      <c r="G60" s="357"/>
      <c r="H60" s="357"/>
      <c r="I60" s="357"/>
      <c r="J60" s="358"/>
      <c r="N60" s="48"/>
      <c r="V60" s="26" t="s">
        <v>309</v>
      </c>
      <c r="W60" s="26">
        <v>4.2888888888888896</v>
      </c>
      <c r="X60" s="26" t="s">
        <v>310</v>
      </c>
      <c r="Y60" s="26"/>
      <c r="Z60" s="26"/>
    </row>
    <row r="61" spans="3:46">
      <c r="C61" s="107" t="s">
        <v>311</v>
      </c>
      <c r="D61" s="108"/>
      <c r="E61" s="108" t="s">
        <v>228</v>
      </c>
      <c r="F61" s="356"/>
      <c r="G61" s="357"/>
      <c r="H61" s="357"/>
      <c r="I61" s="357"/>
      <c r="J61" s="358"/>
      <c r="N61" s="48"/>
      <c r="V61" s="26" t="s">
        <v>312</v>
      </c>
      <c r="W61" s="26">
        <v>0.7</v>
      </c>
      <c r="X61" s="26" t="s">
        <v>313</v>
      </c>
      <c r="Y61" s="26" t="s">
        <v>314</v>
      </c>
      <c r="Z61" s="26" t="s">
        <v>315</v>
      </c>
    </row>
    <row r="62" spans="3:46">
      <c r="C62" s="107" t="s">
        <v>316</v>
      </c>
      <c r="D62" s="108"/>
      <c r="E62" s="108" t="s">
        <v>228</v>
      </c>
      <c r="F62" s="356"/>
      <c r="G62" s="357"/>
      <c r="H62" s="357"/>
      <c r="I62" s="357"/>
      <c r="J62" s="358"/>
      <c r="N62" s="48"/>
      <c r="V62" s="26" t="s">
        <v>312</v>
      </c>
      <c r="W62" s="26">
        <f>623251/1080000</f>
        <v>0.57708425925925921</v>
      </c>
      <c r="X62" s="26" t="s">
        <v>313</v>
      </c>
      <c r="Y62" s="26" t="s">
        <v>317</v>
      </c>
      <c r="Z62" s="26"/>
    </row>
    <row r="63" spans="3:46">
      <c r="C63" s="107" t="s">
        <v>318</v>
      </c>
      <c r="D63" s="108"/>
      <c r="E63" s="108" t="s">
        <v>228</v>
      </c>
      <c r="F63" s="356"/>
      <c r="G63" s="357"/>
      <c r="H63" s="357"/>
      <c r="I63" s="357"/>
      <c r="J63" s="358"/>
      <c r="N63" s="48"/>
      <c r="V63" s="26" t="s">
        <v>295</v>
      </c>
      <c r="W63" s="26">
        <v>0.66</v>
      </c>
      <c r="X63" s="26" t="s">
        <v>319</v>
      </c>
      <c r="Y63" s="26" t="s">
        <v>317</v>
      </c>
      <c r="Z63" s="26"/>
      <c r="AI63" s="25" t="str">
        <f t="shared" ref="AI63" si="35">AJ47&amp;" "&amp;AK47</f>
        <v xml:space="preserve"> </v>
      </c>
    </row>
    <row r="64" spans="3:46">
      <c r="C64" s="107" t="s">
        <v>320</v>
      </c>
      <c r="D64" s="108"/>
      <c r="E64" s="108" t="s">
        <v>301</v>
      </c>
      <c r="F64" s="356"/>
      <c r="G64" s="357"/>
      <c r="H64" s="357"/>
      <c r="I64" s="357"/>
      <c r="J64" s="358"/>
      <c r="N64" s="48"/>
    </row>
    <row r="65" spans="3:38">
      <c r="C65" s="107" t="s">
        <v>321</v>
      </c>
      <c r="D65" s="108"/>
      <c r="E65" s="108" t="s">
        <v>301</v>
      </c>
      <c r="F65" s="356"/>
      <c r="G65" s="357"/>
      <c r="H65" s="357"/>
      <c r="I65" s="357"/>
      <c r="J65" s="358"/>
      <c r="N65" s="48"/>
      <c r="V65" s="334" t="s">
        <v>322</v>
      </c>
      <c r="W65" s="334"/>
      <c r="X65" s="334"/>
      <c r="Y65" s="334"/>
      <c r="Z65" s="334"/>
    </row>
    <row r="66" spans="3:38">
      <c r="C66" s="107" t="s">
        <v>323</v>
      </c>
      <c r="D66" s="108"/>
      <c r="E66" s="108" t="s">
        <v>301</v>
      </c>
      <c r="F66" s="356"/>
      <c r="G66" s="357"/>
      <c r="H66" s="357"/>
      <c r="I66" s="357"/>
      <c r="J66" s="358"/>
      <c r="N66" s="48"/>
      <c r="V66" s="26" t="s">
        <v>324</v>
      </c>
      <c r="W66" s="26" t="s">
        <v>325</v>
      </c>
      <c r="X66" s="26" t="s">
        <v>31</v>
      </c>
      <c r="Y66" s="26" t="s">
        <v>326</v>
      </c>
      <c r="Z66" s="26"/>
    </row>
    <row r="67" spans="3:38">
      <c r="G67" s="294"/>
      <c r="H67" s="294"/>
      <c r="I67" s="294"/>
      <c r="J67" s="294"/>
      <c r="N67" s="48"/>
      <c r="V67" s="26">
        <v>50</v>
      </c>
      <c r="W67" s="26">
        <v>2</v>
      </c>
      <c r="X67" s="70">
        <f>E50*V67*W67*Z54/1000</f>
        <v>0</v>
      </c>
      <c r="Y67" s="70">
        <f>E50*V67*W67*VLOOKUP(G50,$V$53:$Z$56,$Z$51,FALSE)/1000</f>
        <v>0</v>
      </c>
      <c r="Z67" s="26" t="s">
        <v>327</v>
      </c>
    </row>
    <row r="68" spans="3:38">
      <c r="G68" s="294"/>
      <c r="H68" s="294"/>
      <c r="I68" s="294"/>
      <c r="J68" s="294"/>
      <c r="V68" s="26">
        <v>50</v>
      </c>
      <c r="W68" s="26">
        <v>2</v>
      </c>
      <c r="X68" s="70">
        <f>E51*V68*W68*Z54/1000</f>
        <v>0</v>
      </c>
      <c r="Y68" s="70">
        <f>E51*V68*W68*VLOOKUP(G51,$V$53:$Z$56,$Z$51,FALSE)/1000</f>
        <v>0</v>
      </c>
      <c r="Z68" s="26" t="s">
        <v>327</v>
      </c>
    </row>
    <row r="69" spans="3:38" hidden="1">
      <c r="C69" s="2"/>
      <c r="D69" s="2"/>
      <c r="E69" s="2"/>
      <c r="F69" s="2"/>
      <c r="G69" s="362"/>
      <c r="H69" s="362"/>
      <c r="I69" s="362"/>
      <c r="J69" s="362"/>
      <c r="X69" s="81">
        <f>X67+X68</f>
        <v>0</v>
      </c>
      <c r="Y69" s="81">
        <f>Y67+Y68</f>
        <v>0</v>
      </c>
      <c r="Z69" s="26" t="s">
        <v>327</v>
      </c>
    </row>
    <row r="70" spans="3:38" hidden="1"/>
    <row r="71" spans="3:38" hidden="1"/>
    <row r="72" spans="3:38" hidden="1"/>
    <row r="73" spans="3:38" hidden="1"/>
    <row r="74" spans="3:38" hidden="1"/>
    <row r="76" spans="3:38" ht="24.9">
      <c r="C76" s="23" t="s">
        <v>328</v>
      </c>
    </row>
    <row r="77" spans="3:38">
      <c r="X77" s="2"/>
      <c r="Y77" s="2"/>
      <c r="Z77" s="2"/>
      <c r="AA77" s="2"/>
      <c r="AB77" s="2"/>
      <c r="AC77" s="2"/>
      <c r="AD77" s="2"/>
      <c r="AE77" s="2"/>
    </row>
    <row r="78" spans="3:38" ht="15" customHeight="1">
      <c r="C78" s="374" t="s">
        <v>329</v>
      </c>
      <c r="D78" s="363" t="str">
        <f>"Tonn CO2 ekv, "&amp;VLOOKUP('Generelt om prosjektet'!C25,'Generelt om prosjektet'!W25:X28,2,FALSE)&amp;". Klimagassutslippene er oppgit uten hensyn til binding av biogent karbon."</f>
        <v>Tonn CO2 ekv, GWP. Klimagassutslippene er oppgit uten hensyn til binding av biogent karbon.</v>
      </c>
      <c r="E78" s="364"/>
      <c r="F78" s="364"/>
      <c r="G78" s="364"/>
      <c r="H78" s="376" t="s">
        <v>330</v>
      </c>
      <c r="I78" s="142" t="s">
        <v>90</v>
      </c>
      <c r="J78" s="143"/>
      <c r="K78" s="143"/>
      <c r="L78" s="144"/>
      <c r="V78" s="48" t="s">
        <v>331</v>
      </c>
      <c r="AB78" s="2"/>
      <c r="AC78" s="2"/>
      <c r="AD78" s="2"/>
      <c r="AE78" s="2"/>
    </row>
    <row r="79" spans="3:38" ht="45" customHeight="1">
      <c r="C79" s="375"/>
      <c r="D79" s="145" t="s">
        <v>332</v>
      </c>
      <c r="E79" s="146" t="s">
        <v>333</v>
      </c>
      <c r="F79" s="146" t="s">
        <v>334</v>
      </c>
      <c r="G79" s="147" t="s">
        <v>183</v>
      </c>
      <c r="H79" s="377"/>
      <c r="I79" s="148"/>
      <c r="J79" s="149"/>
      <c r="K79" s="149"/>
      <c r="L79" s="150"/>
      <c r="V79" s="84" t="s">
        <v>31</v>
      </c>
      <c r="W79" s="84" t="s">
        <v>335</v>
      </c>
      <c r="X79" s="84" t="s">
        <v>336</v>
      </c>
      <c r="Y79" s="84" t="s">
        <v>337</v>
      </c>
      <c r="Z79" s="84" t="s">
        <v>338</v>
      </c>
      <c r="AB79" s="2"/>
      <c r="AC79" s="2"/>
      <c r="AD79" s="2"/>
      <c r="AE79" s="2"/>
    </row>
    <row r="80" spans="3:38" ht="30" customHeight="1">
      <c r="C80" s="110" t="s">
        <v>339</v>
      </c>
      <c r="D80" s="151"/>
      <c r="E80" s="140"/>
      <c r="F80" s="152"/>
      <c r="G80" s="153">
        <f>E80</f>
        <v>0</v>
      </c>
      <c r="H80" s="195">
        <f>IF(G93=0,0,IF(G80=0,0.1,G80))</f>
        <v>0</v>
      </c>
      <c r="I80" s="365"/>
      <c r="J80" s="366"/>
      <c r="K80" s="366"/>
      <c r="L80" s="367"/>
      <c r="U80" s="196">
        <f>G80</f>
        <v>0</v>
      </c>
      <c r="V80" s="85">
        <f>SUM(BB19:BB24)/1000</f>
        <v>0</v>
      </c>
      <c r="W80" s="86" t="s">
        <v>340</v>
      </c>
      <c r="X80" s="26" t="s">
        <v>341</v>
      </c>
      <c r="Y80" s="86" t="s">
        <v>342</v>
      </c>
      <c r="Z80" s="26" t="s">
        <v>341</v>
      </c>
      <c r="AH80" s="15" t="s">
        <v>30</v>
      </c>
      <c r="AI80" s="70">
        <f>G80</f>
        <v>0</v>
      </c>
      <c r="AJ80" s="87">
        <f>V80</f>
        <v>0</v>
      </c>
      <c r="AK80" s="88">
        <f>IFERROR(AI80/AJ80,0)</f>
        <v>0</v>
      </c>
      <c r="AL80" s="26"/>
    </row>
    <row r="81" spans="3:38" ht="15" customHeight="1">
      <c r="C81" s="154" t="s">
        <v>343</v>
      </c>
      <c r="D81" s="140"/>
      <c r="E81" s="140"/>
      <c r="F81" s="151"/>
      <c r="G81" s="153">
        <f>D81+E81</f>
        <v>0</v>
      </c>
      <c r="H81" s="22">
        <f>IFERROR(G81/V81,1)</f>
        <v>1</v>
      </c>
      <c r="I81" s="359"/>
      <c r="J81" s="360"/>
      <c r="K81" s="360"/>
      <c r="L81" s="361"/>
      <c r="U81" s="196">
        <f t="shared" ref="U81:U91" si="36">G81</f>
        <v>0</v>
      </c>
      <c r="V81" s="89">
        <f>(AN25+AS25+AO25+AT25)/1000</f>
        <v>0</v>
      </c>
      <c r="W81" s="90">
        <v>1.1000000000000001</v>
      </c>
      <c r="X81" s="90">
        <v>0.9</v>
      </c>
      <c r="Y81" s="90">
        <v>0.1</v>
      </c>
      <c r="Z81" s="91">
        <v>0</v>
      </c>
      <c r="AH81" s="15" t="s">
        <v>32</v>
      </c>
      <c r="AI81" s="70">
        <f>G81</f>
        <v>0</v>
      </c>
      <c r="AJ81" s="70">
        <f>V81</f>
        <v>0</v>
      </c>
      <c r="AK81" s="88">
        <f>IFERROR(AI81/AJ81,0)</f>
        <v>0</v>
      </c>
      <c r="AL81" s="26"/>
    </row>
    <row r="82" spans="3:38">
      <c r="C82" s="107" t="s">
        <v>344</v>
      </c>
      <c r="D82" s="140"/>
      <c r="E82" s="140"/>
      <c r="F82" s="140"/>
      <c r="G82" s="153">
        <f>D82+E82+F82</f>
        <v>0</v>
      </c>
      <c r="H82" s="22">
        <f>IFERROR(G82/V82,1)</f>
        <v>1</v>
      </c>
      <c r="I82" s="368"/>
      <c r="J82" s="369"/>
      <c r="K82" s="369"/>
      <c r="L82" s="370"/>
      <c r="U82" s="196">
        <f t="shared" si="36"/>
        <v>0</v>
      </c>
      <c r="V82" s="89">
        <f>(SUM(AN19:AN24)+SUM(AS19:AS24))/1000</f>
        <v>0</v>
      </c>
      <c r="W82" s="90">
        <v>1.1000000000000001</v>
      </c>
      <c r="X82" s="90">
        <v>0.9</v>
      </c>
      <c r="Y82" s="90">
        <v>0.1</v>
      </c>
      <c r="Z82" s="91">
        <v>0</v>
      </c>
      <c r="AH82" s="9" t="s">
        <v>35</v>
      </c>
      <c r="AI82" s="70">
        <f>G82+G83+G89+G92</f>
        <v>0</v>
      </c>
      <c r="AJ82" s="70">
        <f>V82+V83+V89</f>
        <v>0</v>
      </c>
      <c r="AK82" s="88">
        <f>IFERROR(AI82/AJ82,0)</f>
        <v>0</v>
      </c>
      <c r="AL82" s="26"/>
    </row>
    <row r="83" spans="3:38">
      <c r="C83" s="107" t="s">
        <v>345</v>
      </c>
      <c r="D83" s="140"/>
      <c r="E83" s="140"/>
      <c r="F83" s="140"/>
      <c r="G83" s="153">
        <f>D83+E83+F83</f>
        <v>0</v>
      </c>
      <c r="H83" s="22">
        <f>IFERROR(G83/V83,1)</f>
        <v>1</v>
      </c>
      <c r="I83" s="359"/>
      <c r="J83" s="360"/>
      <c r="K83" s="360"/>
      <c r="L83" s="361"/>
      <c r="U83" s="196">
        <f t="shared" si="36"/>
        <v>0</v>
      </c>
      <c r="V83" s="89">
        <f>(SUM(AO19:AO24)+SUM(AT19:AT24))/1000</f>
        <v>0</v>
      </c>
      <c r="W83" s="90">
        <v>1.1000000000000001</v>
      </c>
      <c r="X83" s="90">
        <v>0.9</v>
      </c>
      <c r="Y83" s="90">
        <v>0.1</v>
      </c>
      <c r="Z83" s="91">
        <v>0</v>
      </c>
      <c r="AH83" s="9" t="s">
        <v>37</v>
      </c>
      <c r="AI83" s="70">
        <f>G84+G85+G86</f>
        <v>0</v>
      </c>
      <c r="AJ83" s="70">
        <f>V84+V85+V86</f>
        <v>0</v>
      </c>
      <c r="AK83" s="88">
        <f>IFERROR((AI83-G85)/AJ83,0)</f>
        <v>0</v>
      </c>
      <c r="AL83" s="26"/>
    </row>
    <row r="84" spans="3:38">
      <c r="C84" s="154" t="s">
        <v>346</v>
      </c>
      <c r="D84" s="140"/>
      <c r="E84" s="140"/>
      <c r="F84" s="140"/>
      <c r="G84" s="153">
        <f>D84+E84+F84</f>
        <v>0</v>
      </c>
      <c r="H84" s="22">
        <f>IFERROR(G84/V84,1)</f>
        <v>1</v>
      </c>
      <c r="I84" s="359"/>
      <c r="J84" s="360"/>
      <c r="K84" s="360"/>
      <c r="L84" s="361"/>
      <c r="U84" s="196">
        <f t="shared" si="36"/>
        <v>0</v>
      </c>
      <c r="V84" s="89">
        <f>(SUM(AP19:AP25)+SUM(AU19:AU25))/1000</f>
        <v>0</v>
      </c>
      <c r="W84" s="90">
        <v>1.1000000000000001</v>
      </c>
      <c r="X84" s="90">
        <v>0.9</v>
      </c>
      <c r="Y84" s="90">
        <v>0.1</v>
      </c>
      <c r="Z84" s="91">
        <v>0</v>
      </c>
      <c r="AH84" s="9" t="s">
        <v>39</v>
      </c>
      <c r="AI84" s="70">
        <f>G90</f>
        <v>0</v>
      </c>
      <c r="AJ84" s="70">
        <f>V90</f>
        <v>0</v>
      </c>
      <c r="AK84" s="88">
        <f>IFERROR(AI84/AJ84,0)</f>
        <v>0</v>
      </c>
      <c r="AL84" s="26"/>
    </row>
    <row r="85" spans="3:38">
      <c r="C85" s="154" t="s">
        <v>347</v>
      </c>
      <c r="D85" s="371"/>
      <c r="E85" s="372"/>
      <c r="F85" s="373"/>
      <c r="G85" s="153">
        <f>D85</f>
        <v>0</v>
      </c>
      <c r="H85" s="155" t="s">
        <v>341</v>
      </c>
      <c r="I85" s="359"/>
      <c r="J85" s="360"/>
      <c r="K85" s="360"/>
      <c r="L85" s="361"/>
      <c r="U85" s="196"/>
      <c r="V85" s="92"/>
      <c r="AH85" s="9" t="s">
        <v>41</v>
      </c>
      <c r="AI85" s="70">
        <f>G87+G88</f>
        <v>0</v>
      </c>
      <c r="AJ85" s="70">
        <f>V87+V88</f>
        <v>0</v>
      </c>
      <c r="AK85" s="88">
        <f>IFERROR(AI85/AJ85,0)</f>
        <v>0</v>
      </c>
      <c r="AL85" s="26"/>
    </row>
    <row r="86" spans="3:38">
      <c r="C86" s="154" t="s">
        <v>348</v>
      </c>
      <c r="D86" s="316">
        <f>Y69</f>
        <v>0</v>
      </c>
      <c r="E86" s="317"/>
      <c r="F86" s="318"/>
      <c r="G86" s="153">
        <f>D86</f>
        <v>0</v>
      </c>
      <c r="H86" s="22">
        <f>IFERROR(G86/V86,1)</f>
        <v>1</v>
      </c>
      <c r="I86" s="368"/>
      <c r="J86" s="369"/>
      <c r="K86" s="369"/>
      <c r="L86" s="370"/>
      <c r="U86" s="196">
        <f t="shared" si="36"/>
        <v>0</v>
      </c>
      <c r="V86" s="89">
        <f>X69</f>
        <v>0</v>
      </c>
      <c r="W86" s="90">
        <v>1.1000000000000001</v>
      </c>
      <c r="X86" s="90">
        <v>0.9</v>
      </c>
      <c r="Y86" s="90">
        <v>0</v>
      </c>
      <c r="Z86" s="86" t="s">
        <v>341</v>
      </c>
      <c r="AH86" s="9" t="s">
        <v>43</v>
      </c>
      <c r="AI86" s="70">
        <f>G91</f>
        <v>0</v>
      </c>
      <c r="AJ86" s="70">
        <f>V91</f>
        <v>0</v>
      </c>
      <c r="AK86" s="88">
        <f>IFERROR(AI86/AJ86,0)</f>
        <v>0</v>
      </c>
      <c r="AL86" s="26"/>
    </row>
    <row r="87" spans="3:38" ht="15" customHeight="1">
      <c r="C87" s="154" t="s">
        <v>349</v>
      </c>
      <c r="D87" s="316">
        <f>AE48</f>
        <v>0</v>
      </c>
      <c r="E87" s="317"/>
      <c r="F87" s="318"/>
      <c r="G87" s="153">
        <f t="shared" ref="G87:G92" si="37">D87+E87+F87</f>
        <v>0</v>
      </c>
      <c r="H87" s="402">
        <f>V87</f>
        <v>0</v>
      </c>
      <c r="I87" s="359"/>
      <c r="J87" s="360"/>
      <c r="K87" s="360"/>
      <c r="L87" s="361"/>
      <c r="U87" s="196">
        <f>G87+G88</f>
        <v>0</v>
      </c>
      <c r="V87" s="70">
        <f>(G87+G88)</f>
        <v>0</v>
      </c>
      <c r="W87" s="93" t="s">
        <v>350</v>
      </c>
      <c r="X87" s="93" t="s">
        <v>351</v>
      </c>
      <c r="Y87" s="93" t="s">
        <v>352</v>
      </c>
      <c r="Z87" s="86" t="s">
        <v>341</v>
      </c>
      <c r="AH87" s="26"/>
      <c r="AI87" s="70">
        <f>SUM(AI80:AI86)</f>
        <v>0</v>
      </c>
      <c r="AJ87" s="26"/>
      <c r="AK87" s="88"/>
      <c r="AL87" s="26"/>
    </row>
    <row r="88" spans="3:38" ht="15" customHeight="1">
      <c r="C88" s="154" t="s">
        <v>353</v>
      </c>
      <c r="D88" s="319">
        <f>AE58</f>
        <v>0</v>
      </c>
      <c r="E88" s="320"/>
      <c r="F88" s="321"/>
      <c r="G88" s="153">
        <f t="shared" si="37"/>
        <v>0</v>
      </c>
      <c r="H88" s="403"/>
      <c r="I88" s="365"/>
      <c r="J88" s="366"/>
      <c r="K88" s="366"/>
      <c r="L88" s="367"/>
      <c r="U88" s="196"/>
      <c r="V88" s="70"/>
      <c r="W88" s="93" t="s">
        <v>350</v>
      </c>
      <c r="X88" s="93" t="s">
        <v>351</v>
      </c>
      <c r="Y88" s="93" t="s">
        <v>352</v>
      </c>
      <c r="Z88" s="86" t="s">
        <v>341</v>
      </c>
    </row>
    <row r="89" spans="3:38">
      <c r="C89" s="107" t="str">
        <f>"B1-B5, Drift og vedlikehold, "&amp;'Generelt om prosjektet'!C24&amp;" år"</f>
        <v>B1-B5, Drift og vedlikehold, 50 år</v>
      </c>
      <c r="D89" s="140"/>
      <c r="E89" s="140"/>
      <c r="F89" s="140"/>
      <c r="G89" s="153">
        <f t="shared" si="37"/>
        <v>0</v>
      </c>
      <c r="H89" s="22">
        <f>IFERROR(G89/V89,1)</f>
        <v>1</v>
      </c>
      <c r="I89" s="368"/>
      <c r="J89" s="369"/>
      <c r="K89" s="369"/>
      <c r="L89" s="370"/>
      <c r="U89" s="196">
        <f t="shared" si="36"/>
        <v>0</v>
      </c>
      <c r="V89" s="89">
        <f>(SUM(AQ19:AQ24)+SUM(AV19:AV24))/1000</f>
        <v>0</v>
      </c>
      <c r="W89" s="90">
        <v>1.1000000000000001</v>
      </c>
      <c r="X89" s="90">
        <v>0.9</v>
      </c>
      <c r="Y89" s="90">
        <v>0.1</v>
      </c>
      <c r="Z89" s="91">
        <v>0</v>
      </c>
    </row>
    <row r="90" spans="3:38">
      <c r="C90" s="107" t="str">
        <f>"B6: Energi i drift, "&amp;'Generelt om prosjektet'!C24&amp;" år"</f>
        <v>B6: Energi i drift, 50 år</v>
      </c>
      <c r="D90" s="319">
        <f>SUM(AF36:AF39)</f>
        <v>0</v>
      </c>
      <c r="E90" s="320"/>
      <c r="F90" s="321"/>
      <c r="G90" s="153">
        <f t="shared" si="37"/>
        <v>0</v>
      </c>
      <c r="H90" s="22">
        <f>IFERROR(G90/V90,1)</f>
        <v>1</v>
      </c>
      <c r="I90" s="359"/>
      <c r="J90" s="360"/>
      <c r="K90" s="360"/>
      <c r="L90" s="361"/>
      <c r="U90" s="196">
        <f t="shared" si="36"/>
        <v>0</v>
      </c>
      <c r="V90" s="89">
        <f>AQ50</f>
        <v>0</v>
      </c>
      <c r="W90" s="90">
        <v>1.1000000000000001</v>
      </c>
      <c r="X90" s="90">
        <v>0.9</v>
      </c>
      <c r="Y90" s="90">
        <v>0.1</v>
      </c>
      <c r="Z90" s="91">
        <v>0</v>
      </c>
    </row>
    <row r="91" spans="3:38">
      <c r="C91" s="154" t="s">
        <v>354</v>
      </c>
      <c r="D91" s="156"/>
      <c r="E91" s="156"/>
      <c r="F91" s="156"/>
      <c r="G91" s="153">
        <f t="shared" si="37"/>
        <v>0</v>
      </c>
      <c r="H91" s="22">
        <f>IFERROR(G91/V91,1)</f>
        <v>1</v>
      </c>
      <c r="I91" s="359"/>
      <c r="J91" s="360"/>
      <c r="K91" s="360"/>
      <c r="L91" s="361"/>
      <c r="U91" s="196">
        <f t="shared" si="36"/>
        <v>0</v>
      </c>
      <c r="V91" s="89">
        <f>(SUM(AR19:AR25)+SUM(AW19:AW25))/1000</f>
        <v>0</v>
      </c>
      <c r="W91" s="90">
        <v>1.1000000000000001</v>
      </c>
      <c r="X91" s="90">
        <v>0.9</v>
      </c>
      <c r="Y91" s="90">
        <v>0.4</v>
      </c>
      <c r="Z91" s="91">
        <v>0</v>
      </c>
    </row>
    <row r="92" spans="3:38">
      <c r="C92" s="154" t="s">
        <v>355</v>
      </c>
      <c r="D92" s="152">
        <f>IF(E44=Nei,AF40,0)</f>
        <v>0</v>
      </c>
      <c r="E92" s="152"/>
      <c r="F92" s="152"/>
      <c r="G92" s="153">
        <f t="shared" si="37"/>
        <v>0</v>
      </c>
      <c r="H92" s="157" t="s">
        <v>341</v>
      </c>
      <c r="I92" s="359"/>
      <c r="J92" s="360"/>
      <c r="K92" s="360"/>
      <c r="L92" s="361"/>
      <c r="U92" s="196"/>
      <c r="V92" s="92"/>
      <c r="W92" s="94"/>
      <c r="X92" s="94"/>
      <c r="Y92" s="94"/>
    </row>
    <row r="93" spans="3:38">
      <c r="C93" s="172" t="s">
        <v>356</v>
      </c>
      <c r="D93" s="165">
        <f>SUM(D80:D92)</f>
        <v>0</v>
      </c>
      <c r="E93" s="165">
        <f>SUM(E80:E92)</f>
        <v>0</v>
      </c>
      <c r="F93" s="165">
        <f>SUM(F80:F92)</f>
        <v>0</v>
      </c>
      <c r="G93" s="165">
        <f>D93+E93+F93</f>
        <v>0</v>
      </c>
      <c r="H93" s="210">
        <f>IFERROR(U93/V93,0)</f>
        <v>0</v>
      </c>
      <c r="I93" s="394"/>
      <c r="J93" s="395"/>
      <c r="K93" s="395"/>
      <c r="L93" s="396"/>
      <c r="U93" s="75">
        <f>SUM(U80:U92)</f>
        <v>0</v>
      </c>
      <c r="V93" s="75">
        <f>SUM(V80:V92)</f>
        <v>0</v>
      </c>
    </row>
    <row r="94" spans="3:38">
      <c r="C94" s="109"/>
      <c r="D94" s="109"/>
      <c r="E94" s="109"/>
      <c r="F94" s="109"/>
      <c r="G94" s="109"/>
      <c r="H94" s="109"/>
      <c r="I94" s="109"/>
      <c r="J94" s="109"/>
      <c r="K94" s="109"/>
      <c r="L94" s="109"/>
    </row>
    <row r="95" spans="3:38">
      <c r="C95" s="109"/>
      <c r="D95" s="109"/>
      <c r="E95" s="109"/>
      <c r="F95" s="109"/>
      <c r="G95" s="109"/>
      <c r="H95" s="109"/>
      <c r="I95" s="109"/>
      <c r="J95" s="109"/>
      <c r="K95" s="109"/>
      <c r="L95" s="109"/>
    </row>
    <row r="96" spans="3:38">
      <c r="C96" s="391" t="s">
        <v>357</v>
      </c>
      <c r="D96" s="363" t="str">
        <f>D78</f>
        <v>Tonn CO2 ekv, GWP. Klimagassutslippene er oppgit uten hensyn til binding av biogent karbon.</v>
      </c>
      <c r="E96" s="364"/>
      <c r="F96" s="364"/>
      <c r="G96" s="364"/>
      <c r="H96" s="393"/>
      <c r="I96" s="142" t="s">
        <v>90</v>
      </c>
      <c r="J96" s="158"/>
      <c r="K96" s="143"/>
      <c r="L96" s="144"/>
    </row>
    <row r="97" spans="3:24" ht="30" customHeight="1">
      <c r="C97" s="392"/>
      <c r="D97" s="145" t="s">
        <v>332</v>
      </c>
      <c r="E97" s="146" t="s">
        <v>156</v>
      </c>
      <c r="F97" s="146" t="s">
        <v>157</v>
      </c>
      <c r="G97" s="312" t="s">
        <v>183</v>
      </c>
      <c r="H97" s="313"/>
      <c r="I97" s="148"/>
      <c r="J97" s="159"/>
      <c r="K97" s="149"/>
      <c r="L97" s="150"/>
    </row>
    <row r="98" spans="3:24">
      <c r="C98" s="154" t="s">
        <v>358</v>
      </c>
      <c r="D98" s="322"/>
      <c r="E98" s="323"/>
      <c r="F98" s="152"/>
      <c r="G98" s="314">
        <f>D98</f>
        <v>0</v>
      </c>
      <c r="H98" s="315"/>
      <c r="I98" s="322"/>
      <c r="J98" s="379"/>
      <c r="K98" s="379"/>
      <c r="L98" s="323"/>
    </row>
    <row r="99" spans="3:24" ht="30" customHeight="1">
      <c r="C99" s="107" t="s">
        <v>46</v>
      </c>
      <c r="D99" s="310" t="str">
        <f ca="1">IF(AX32&gt;0,"Beregnet med "&amp;AX32&amp;" års 'restlevetid' til beregningsperioden på "&amp;'Generelt om prosjektet'!C24&amp;" år","")</f>
        <v/>
      </c>
      <c r="E99" s="311"/>
      <c r="F99" s="160">
        <f ca="1">SUM(AX33:BA33)/1000</f>
        <v>0</v>
      </c>
      <c r="G99" s="314">
        <f ca="1">F99</f>
        <v>0</v>
      </c>
      <c r="H99" s="315"/>
      <c r="I99" s="322"/>
      <c r="J99" s="379"/>
      <c r="K99" s="379"/>
      <c r="L99" s="323"/>
      <c r="V99" s="2"/>
    </row>
    <row r="100" spans="3:24">
      <c r="C100" s="380" t="s">
        <v>581</v>
      </c>
      <c r="D100" s="381"/>
      <c r="E100" s="381"/>
      <c r="F100" s="381"/>
      <c r="G100" s="381"/>
      <c r="H100" s="381"/>
      <c r="I100" s="381"/>
      <c r="J100" s="381"/>
      <c r="K100" s="381"/>
      <c r="L100" s="382"/>
    </row>
    <row r="101" spans="3:24">
      <c r="C101" s="383"/>
      <c r="D101" s="384"/>
      <c r="E101" s="384"/>
      <c r="F101" s="384"/>
      <c r="G101" s="384"/>
      <c r="H101" s="384"/>
      <c r="I101" s="384"/>
      <c r="J101" s="384"/>
      <c r="K101" s="384"/>
      <c r="L101" s="385"/>
    </row>
    <row r="102" spans="3:24">
      <c r="C102" s="383"/>
      <c r="D102" s="384"/>
      <c r="E102" s="384"/>
      <c r="F102" s="384"/>
      <c r="G102" s="384"/>
      <c r="H102" s="384"/>
      <c r="I102" s="384"/>
      <c r="J102" s="384"/>
      <c r="K102" s="384"/>
      <c r="L102" s="385"/>
    </row>
    <row r="103" spans="3:24">
      <c r="C103" s="386"/>
      <c r="D103" s="387"/>
      <c r="E103" s="387"/>
      <c r="F103" s="387"/>
      <c r="G103" s="387"/>
      <c r="H103" s="387"/>
      <c r="I103" s="387"/>
      <c r="J103" s="387"/>
      <c r="K103" s="387"/>
      <c r="L103" s="388"/>
    </row>
    <row r="107" spans="3:24" ht="24.9">
      <c r="C107" s="23" t="str">
        <f>"Alternativ 1: Resultat. B6: Energi i drift, "&amp;'Generelt om prosjektet'!C24&amp;" år, ulike utslippsfaktorer for energi"</f>
        <v>Alternativ 1: Resultat. B6: Energi i drift, 50 år, ulike utslippsfaktorer for energi</v>
      </c>
    </row>
    <row r="108" spans="3:24">
      <c r="C108" s="109"/>
      <c r="D108" s="109"/>
      <c r="E108" s="109"/>
      <c r="F108" s="109"/>
      <c r="G108" s="109"/>
      <c r="H108" s="109"/>
      <c r="I108" s="109"/>
    </row>
    <row r="109" spans="3:24">
      <c r="C109" s="109"/>
      <c r="D109" s="287" t="s">
        <v>359</v>
      </c>
      <c r="E109" s="287"/>
      <c r="F109" s="287"/>
      <c r="G109" s="109"/>
      <c r="H109" s="109"/>
      <c r="I109" s="109"/>
    </row>
    <row r="110" spans="3:24" ht="24.9">
      <c r="C110" s="118" t="s">
        <v>360</v>
      </c>
      <c r="D110" s="118" t="s">
        <v>361</v>
      </c>
      <c r="E110" s="118" t="s">
        <v>362</v>
      </c>
      <c r="F110" s="118" t="s">
        <v>363</v>
      </c>
      <c r="G110" s="161" t="str">
        <f>"Beregnet utslipp over "&amp;'Generelt om prosjektet'!C24&amp;" år"</f>
        <v>Beregnet utslipp over 50 år</v>
      </c>
      <c r="H110" s="145" t="s">
        <v>164</v>
      </c>
      <c r="I110" s="109"/>
    </row>
    <row r="111" spans="3:24">
      <c r="C111" s="107" t="s">
        <v>364</v>
      </c>
      <c r="D111" s="162">
        <f>Utslippsdata!C77</f>
        <v>1.7747665114285747E-2</v>
      </c>
      <c r="E111" s="162">
        <f>Utslippsdata!C83</f>
        <v>1.4693376033679371E-2</v>
      </c>
      <c r="F111" s="107">
        <f>E37</f>
        <v>0</v>
      </c>
      <c r="G111" s="153">
        <f>(($W$111+$W$114)*D111+$W$112*E111+$W$113*F111)*$W$115/1000</f>
        <v>0</v>
      </c>
      <c r="H111" s="107" t="s">
        <v>365</v>
      </c>
      <c r="I111" s="109"/>
      <c r="V111" s="26" t="s">
        <v>361</v>
      </c>
      <c r="W111" s="70">
        <f>E34</f>
        <v>0</v>
      </c>
      <c r="X111" s="26" t="s">
        <v>366</v>
      </c>
    </row>
    <row r="112" spans="3:24">
      <c r="C112" s="107" t="s">
        <v>367</v>
      </c>
      <c r="D112" s="162">
        <f>Utslippsdata!C76</f>
        <v>0.10462896495714274</v>
      </c>
      <c r="E112" s="162">
        <f>Utslippsdata!C80</f>
        <v>3.8751119274583641E-2</v>
      </c>
      <c r="F112" s="107">
        <f>E37</f>
        <v>0</v>
      </c>
      <c r="G112" s="153">
        <f>(($W$111+$W$114)*D112+$W$112*E112+$W$113*F112)*$W$115/1000</f>
        <v>0</v>
      </c>
      <c r="H112" s="107" t="s">
        <v>365</v>
      </c>
      <c r="I112" s="109"/>
      <c r="V112" s="26" t="s">
        <v>368</v>
      </c>
      <c r="W112" s="70">
        <f>E35</f>
        <v>0</v>
      </c>
      <c r="X112" s="26" t="s">
        <v>366</v>
      </c>
    </row>
    <row r="113" spans="3:27">
      <c r="C113" s="109"/>
      <c r="D113" s="109"/>
      <c r="E113" s="109"/>
      <c r="F113" s="109"/>
      <c r="G113" s="109"/>
      <c r="H113" s="109"/>
      <c r="I113" s="109"/>
      <c r="V113" s="26" t="s">
        <v>369</v>
      </c>
      <c r="W113" s="70">
        <f>E36</f>
        <v>0</v>
      </c>
      <c r="X113" s="26" t="s">
        <v>366</v>
      </c>
    </row>
    <row r="114" spans="3:27">
      <c r="C114" s="109"/>
      <c r="D114" s="287" t="s">
        <v>359</v>
      </c>
      <c r="E114" s="287"/>
      <c r="F114" s="287"/>
      <c r="G114" s="109"/>
      <c r="H114" s="109"/>
      <c r="I114" s="109"/>
      <c r="V114" s="26" t="s">
        <v>370</v>
      </c>
      <c r="W114" s="70">
        <f>E39</f>
        <v>0</v>
      </c>
      <c r="X114" s="26" t="s">
        <v>366</v>
      </c>
    </row>
    <row r="115" spans="3:27" ht="36.9">
      <c r="C115" s="146" t="s">
        <v>371</v>
      </c>
      <c r="D115" s="118" t="s">
        <v>361</v>
      </c>
      <c r="E115" s="118" t="s">
        <v>362</v>
      </c>
      <c r="F115" s="118" t="s">
        <v>363</v>
      </c>
      <c r="G115" s="161" t="str">
        <f>"Beregnet utslipp over "&amp;'Generelt om prosjektet'!C29&amp;" år"</f>
        <v>Beregnet utslipp over  år</v>
      </c>
      <c r="H115" s="145" t="s">
        <v>164</v>
      </c>
      <c r="I115" s="109"/>
      <c r="V115" s="26" t="s">
        <v>372</v>
      </c>
      <c r="W115" s="26">
        <f>'Generelt om prosjektet'!C24</f>
        <v>50</v>
      </c>
      <c r="X115" s="26"/>
    </row>
    <row r="116" spans="3:27">
      <c r="C116" s="107" t="s">
        <v>364</v>
      </c>
      <c r="D116" s="162">
        <f>D111</f>
        <v>1.7747665114285747E-2</v>
      </c>
      <c r="E116" s="162">
        <f>Utslippsdata!C84</f>
        <v>6.5088487419817986E-2</v>
      </c>
      <c r="F116" s="107">
        <f>E37</f>
        <v>0</v>
      </c>
      <c r="G116" s="153">
        <f>(($W$111+$W$114)*D116+$W$112*E116+$W$113*F116)*$W$115/1000</f>
        <v>0</v>
      </c>
      <c r="H116" s="107" t="s">
        <v>365</v>
      </c>
      <c r="I116" s="109"/>
    </row>
    <row r="117" spans="3:27">
      <c r="C117" s="163" t="s">
        <v>373</v>
      </c>
      <c r="D117" s="164">
        <f>D112</f>
        <v>0.10462896495714274</v>
      </c>
      <c r="E117" s="164">
        <f>Utslippsdata!C81</f>
        <v>8.9146230660722248E-2</v>
      </c>
      <c r="F117" s="163">
        <f>E37</f>
        <v>0</v>
      </c>
      <c r="G117" s="165">
        <f>(($W$111+$W$114)*D117+$W$112*E117+$W$113*F117)*$W$115/1000</f>
        <v>0</v>
      </c>
      <c r="H117" s="163" t="s">
        <v>365</v>
      </c>
      <c r="I117" s="109"/>
    </row>
    <row r="118" spans="3:27">
      <c r="C118" s="109"/>
      <c r="D118" s="109"/>
      <c r="E118" s="109"/>
      <c r="F118" s="109"/>
      <c r="G118" s="109"/>
      <c r="H118" s="109"/>
      <c r="I118" s="109"/>
    </row>
    <row r="119" spans="3:27">
      <c r="C119" s="109"/>
      <c r="D119" s="109"/>
      <c r="E119" s="109"/>
      <c r="F119" s="109"/>
      <c r="G119" s="109"/>
      <c r="H119" s="109"/>
      <c r="I119" s="109"/>
    </row>
    <row r="122" spans="3:27" ht="15" customHeight="1"/>
    <row r="123" spans="3:27" ht="15" customHeight="1"/>
    <row r="124" spans="3:27" ht="15" customHeight="1"/>
    <row r="125" spans="3:27">
      <c r="AA125" s="26" t="s">
        <v>268</v>
      </c>
    </row>
    <row r="126" spans="3:27">
      <c r="AA126" s="26" t="s">
        <v>260</v>
      </c>
    </row>
    <row r="127" spans="3:27" ht="27">
      <c r="C127" s="24" t="s">
        <v>374</v>
      </c>
      <c r="D127" s="68"/>
    </row>
    <row r="128" spans="3:27" ht="15" customHeight="1">
      <c r="C128" s="273" t="s">
        <v>375</v>
      </c>
      <c r="D128" s="274" t="s">
        <v>260</v>
      </c>
    </row>
    <row r="130" spans="3:50" ht="14.4" thickBot="1">
      <c r="C130" s="95" t="s">
        <v>376</v>
      </c>
    </row>
    <row r="131" spans="3:50" ht="110.4">
      <c r="C131" s="82" t="s">
        <v>377</v>
      </c>
      <c r="D131" s="83" t="s">
        <v>339</v>
      </c>
      <c r="E131" s="83" t="s">
        <v>378</v>
      </c>
      <c r="F131" s="83" t="s">
        <v>379</v>
      </c>
      <c r="G131" s="83" t="s">
        <v>168</v>
      </c>
      <c r="H131" s="83" t="s">
        <v>346</v>
      </c>
      <c r="I131" s="83" t="s">
        <v>347</v>
      </c>
      <c r="J131" s="83" t="s">
        <v>348</v>
      </c>
      <c r="K131" s="83" t="s">
        <v>349</v>
      </c>
      <c r="L131" s="83" t="s">
        <v>353</v>
      </c>
      <c r="M131" s="83" t="s">
        <v>380</v>
      </c>
      <c r="N131" s="83" t="s">
        <v>381</v>
      </c>
      <c r="O131" s="83" t="s">
        <v>358</v>
      </c>
      <c r="P131" s="83" t="s">
        <v>171</v>
      </c>
      <c r="Q131" s="83" t="s">
        <v>382</v>
      </c>
      <c r="R131" s="168" t="s">
        <v>383</v>
      </c>
      <c r="S131" s="168" t="s">
        <v>383</v>
      </c>
      <c r="T131" s="168" t="s">
        <v>383</v>
      </c>
      <c r="U131" s="166"/>
      <c r="AK131" s="96">
        <v>1</v>
      </c>
      <c r="AL131" s="97">
        <v>2</v>
      </c>
      <c r="AM131" s="97">
        <v>3</v>
      </c>
      <c r="AN131" s="97">
        <v>4</v>
      </c>
      <c r="AO131" s="97">
        <v>5</v>
      </c>
      <c r="AP131" s="97">
        <v>6</v>
      </c>
      <c r="AQ131" s="97">
        <v>7</v>
      </c>
      <c r="AR131" s="97">
        <v>8</v>
      </c>
      <c r="AS131" s="97">
        <v>9</v>
      </c>
      <c r="AT131" s="97">
        <v>10</v>
      </c>
      <c r="AU131" s="97">
        <v>11</v>
      </c>
      <c r="AV131" s="97">
        <v>12</v>
      </c>
      <c r="AW131" s="97">
        <v>13</v>
      </c>
      <c r="AX131" s="98"/>
    </row>
    <row r="132" spans="3:50">
      <c r="C132" s="26" t="s">
        <v>384</v>
      </c>
      <c r="D132" s="169"/>
      <c r="E132" s="169"/>
      <c r="F132" s="169"/>
      <c r="G132" s="169"/>
      <c r="H132" s="169"/>
      <c r="I132" s="169"/>
      <c r="J132" s="169"/>
      <c r="K132" s="169"/>
      <c r="L132" s="169"/>
      <c r="M132" s="169"/>
      <c r="N132" s="169"/>
      <c r="O132" s="169"/>
      <c r="P132" s="169"/>
      <c r="Q132" s="169"/>
      <c r="R132" s="169"/>
      <c r="S132" s="169"/>
      <c r="T132" s="169"/>
      <c r="U132" s="166"/>
      <c r="AK132" s="99" t="s">
        <v>385</v>
      </c>
      <c r="AL132" s="25" t="s">
        <v>386</v>
      </c>
      <c r="AM132" s="25" t="s">
        <v>159</v>
      </c>
      <c r="AN132" s="25" t="s">
        <v>4</v>
      </c>
      <c r="AO132" s="25" t="s">
        <v>164</v>
      </c>
      <c r="AW132" s="25" t="s">
        <v>387</v>
      </c>
      <c r="AX132" s="100"/>
    </row>
    <row r="133" spans="3:50" ht="14.1">
      <c r="C133" s="26" t="s">
        <v>388</v>
      </c>
      <c r="D133" s="169"/>
      <c r="E133" s="169"/>
      <c r="F133" s="169"/>
      <c r="G133" s="169"/>
      <c r="H133" s="169"/>
      <c r="I133" s="169"/>
      <c r="J133" s="169"/>
      <c r="K133" s="169"/>
      <c r="L133" s="169"/>
      <c r="M133" s="169"/>
      <c r="N133" s="169"/>
      <c r="O133" s="169"/>
      <c r="P133" s="169"/>
      <c r="Q133" s="169"/>
      <c r="R133" s="169"/>
      <c r="S133" s="169"/>
      <c r="T133" s="169"/>
      <c r="U133" s="166"/>
      <c r="AK133" s="101" t="s">
        <v>173</v>
      </c>
      <c r="AL133" s="26"/>
      <c r="AM133" s="26"/>
      <c r="AN133" s="26"/>
      <c r="AW133" s="95" t="s">
        <v>389</v>
      </c>
      <c r="AX133" s="100"/>
    </row>
    <row r="134" spans="3:50">
      <c r="C134" s="26" t="s">
        <v>390</v>
      </c>
      <c r="D134" s="37"/>
      <c r="E134" s="37"/>
      <c r="F134" s="37"/>
      <c r="G134" s="37"/>
      <c r="H134" s="37"/>
      <c r="I134" s="37"/>
      <c r="J134" s="37"/>
      <c r="K134" s="37"/>
      <c r="L134" s="37"/>
      <c r="M134" s="37"/>
      <c r="N134" s="37"/>
      <c r="O134" s="37"/>
      <c r="P134" s="37"/>
      <c r="Q134" s="37"/>
      <c r="R134" s="37"/>
      <c r="S134" s="37"/>
      <c r="T134" s="37"/>
      <c r="AK134" s="101" t="s">
        <v>249</v>
      </c>
      <c r="AL134" s="26" t="s">
        <v>249</v>
      </c>
      <c r="AM134" s="26" t="s">
        <v>391</v>
      </c>
      <c r="AN134" s="26" t="s">
        <v>205</v>
      </c>
      <c r="AO134" s="58" t="s">
        <v>301</v>
      </c>
      <c r="AW134" s="26" t="s">
        <v>249</v>
      </c>
      <c r="AX134" s="100"/>
    </row>
    <row r="135" spans="3:50">
      <c r="C135" s="26" t="s">
        <v>392</v>
      </c>
      <c r="D135" s="37"/>
      <c r="E135" s="37"/>
      <c r="F135" s="37"/>
      <c r="G135" s="37"/>
      <c r="H135" s="37"/>
      <c r="I135" s="37"/>
      <c r="J135" s="37"/>
      <c r="K135" s="37"/>
      <c r="L135" s="37"/>
      <c r="M135" s="37"/>
      <c r="N135" s="37"/>
      <c r="O135" s="37"/>
      <c r="P135" s="37"/>
      <c r="Q135" s="37"/>
      <c r="R135" s="37"/>
      <c r="S135" s="37"/>
      <c r="T135" s="37"/>
      <c r="AK135" s="101" t="s">
        <v>239</v>
      </c>
      <c r="AL135" s="26" t="s">
        <v>239</v>
      </c>
      <c r="AM135" s="26" t="s">
        <v>393</v>
      </c>
      <c r="AN135" s="26" t="s">
        <v>209</v>
      </c>
      <c r="AO135" s="58" t="s">
        <v>301</v>
      </c>
      <c r="AR135" s="48" t="s">
        <v>394</v>
      </c>
      <c r="AW135" s="26" t="s">
        <v>239</v>
      </c>
      <c r="AX135" s="100"/>
    </row>
    <row r="136" spans="3:50">
      <c r="C136" s="26" t="s">
        <v>395</v>
      </c>
      <c r="D136" s="37"/>
      <c r="E136" s="37"/>
      <c r="F136" s="37"/>
      <c r="G136" s="37"/>
      <c r="H136" s="37"/>
      <c r="I136" s="37"/>
      <c r="J136" s="37"/>
      <c r="K136" s="37"/>
      <c r="L136" s="37"/>
      <c r="M136" s="37"/>
      <c r="N136" s="37"/>
      <c r="O136" s="37"/>
      <c r="P136" s="37"/>
      <c r="Q136" s="37"/>
      <c r="R136" s="37"/>
      <c r="S136" s="37"/>
      <c r="T136" s="37"/>
      <c r="AK136" s="101" t="s">
        <v>253</v>
      </c>
      <c r="AL136" s="26" t="s">
        <v>253</v>
      </c>
      <c r="AM136" s="26" t="s">
        <v>396</v>
      </c>
      <c r="AN136" s="26" t="s">
        <v>213</v>
      </c>
      <c r="AO136" s="58" t="s">
        <v>301</v>
      </c>
      <c r="AW136" s="26" t="s">
        <v>253</v>
      </c>
      <c r="AX136" s="100"/>
    </row>
    <row r="137" spans="3:50">
      <c r="C137" s="26" t="s">
        <v>397</v>
      </c>
      <c r="D137" s="37"/>
      <c r="E137" s="37"/>
      <c r="F137" s="37"/>
      <c r="G137" s="37"/>
      <c r="H137" s="37"/>
      <c r="I137" s="37"/>
      <c r="J137" s="37"/>
      <c r="K137" s="37"/>
      <c r="L137" s="37"/>
      <c r="M137" s="37"/>
      <c r="N137" s="37"/>
      <c r="O137" s="37"/>
      <c r="P137" s="37"/>
      <c r="Q137" s="37"/>
      <c r="R137" s="37"/>
      <c r="S137" s="37"/>
      <c r="T137" s="37"/>
      <c r="AK137" s="101" t="s">
        <v>270</v>
      </c>
      <c r="AL137" s="26" t="s">
        <v>270</v>
      </c>
      <c r="AM137" s="26" t="s">
        <v>398</v>
      </c>
      <c r="AN137" s="26" t="s">
        <v>219</v>
      </c>
      <c r="AO137" s="58"/>
      <c r="AQ137" s="25" t="s">
        <v>399</v>
      </c>
      <c r="AR137" s="25" t="s">
        <v>400</v>
      </c>
      <c r="AS137" s="25" t="s">
        <v>400</v>
      </c>
      <c r="AW137" s="26" t="s">
        <v>270</v>
      </c>
      <c r="AX137" s="100"/>
    </row>
    <row r="138" spans="3:50">
      <c r="C138" s="26" t="s">
        <v>401</v>
      </c>
      <c r="D138" s="37"/>
      <c r="E138" s="37"/>
      <c r="F138" s="37"/>
      <c r="G138" s="37"/>
      <c r="H138" s="37"/>
      <c r="I138" s="37"/>
      <c r="J138" s="37"/>
      <c r="K138" s="37"/>
      <c r="L138" s="37"/>
      <c r="M138" s="37"/>
      <c r="N138" s="37"/>
      <c r="O138" s="37"/>
      <c r="P138" s="37"/>
      <c r="Q138" s="37"/>
      <c r="R138" s="37"/>
      <c r="S138" s="37"/>
      <c r="T138" s="37"/>
      <c r="AK138" s="101" t="s">
        <v>258</v>
      </c>
      <c r="AL138" s="26" t="s">
        <v>258</v>
      </c>
      <c r="AM138" s="26" t="s">
        <v>402</v>
      </c>
      <c r="AN138" s="26" t="s">
        <v>230</v>
      </c>
      <c r="AO138" s="58" t="s">
        <v>301</v>
      </c>
      <c r="AW138" s="26" t="s">
        <v>258</v>
      </c>
      <c r="AX138" s="100"/>
    </row>
    <row r="139" spans="3:50">
      <c r="C139" s="26" t="s">
        <v>403</v>
      </c>
      <c r="D139" s="37"/>
      <c r="E139" s="37"/>
      <c r="F139" s="37"/>
      <c r="G139" s="37"/>
      <c r="H139" s="37"/>
      <c r="I139" s="37"/>
      <c r="J139" s="37"/>
      <c r="K139" s="37"/>
      <c r="L139" s="37"/>
      <c r="M139" s="37"/>
      <c r="N139" s="37"/>
      <c r="O139" s="37"/>
      <c r="P139" s="37"/>
      <c r="Q139" s="37"/>
      <c r="R139" s="37"/>
      <c r="S139" s="37"/>
      <c r="T139" s="37"/>
      <c r="AK139" s="101" t="s">
        <v>232</v>
      </c>
      <c r="AL139" s="26" t="s">
        <v>404</v>
      </c>
      <c r="AM139" s="26" t="s">
        <v>405</v>
      </c>
      <c r="AN139" s="26" t="s">
        <v>237</v>
      </c>
      <c r="AO139" s="58" t="s">
        <v>301</v>
      </c>
      <c r="AW139" s="26" t="s">
        <v>404</v>
      </c>
      <c r="AX139" s="100"/>
    </row>
    <row r="140" spans="3:50">
      <c r="C140" s="167" t="s">
        <v>383</v>
      </c>
      <c r="D140" s="37"/>
      <c r="E140" s="37"/>
      <c r="F140" s="37"/>
      <c r="G140" s="37"/>
      <c r="H140" s="37"/>
      <c r="I140" s="37"/>
      <c r="J140" s="37"/>
      <c r="K140" s="37"/>
      <c r="L140" s="37"/>
      <c r="M140" s="37"/>
      <c r="N140" s="37"/>
      <c r="O140" s="37"/>
      <c r="P140" s="37"/>
      <c r="Q140" s="37"/>
      <c r="R140" s="37"/>
      <c r="S140" s="37"/>
      <c r="T140" s="37"/>
      <c r="AK140" s="101" t="s">
        <v>244</v>
      </c>
      <c r="AL140" s="26"/>
      <c r="AM140" s="26" t="s">
        <v>406</v>
      </c>
      <c r="AN140" s="26" t="s">
        <v>242</v>
      </c>
      <c r="AO140" s="58" t="s">
        <v>301</v>
      </c>
      <c r="AW140" s="102" t="s">
        <v>239</v>
      </c>
      <c r="AX140" s="100"/>
    </row>
    <row r="141" spans="3:50">
      <c r="C141" s="167" t="s">
        <v>383</v>
      </c>
      <c r="D141" s="37"/>
      <c r="E141" s="37"/>
      <c r="F141" s="37"/>
      <c r="G141" s="37"/>
      <c r="H141" s="37"/>
      <c r="I141" s="37"/>
      <c r="J141" s="37"/>
      <c r="K141" s="37"/>
      <c r="L141" s="37"/>
      <c r="M141" s="37"/>
      <c r="N141" s="37"/>
      <c r="O141" s="37"/>
      <c r="P141" s="37"/>
      <c r="Q141" s="37"/>
      <c r="R141" s="37"/>
      <c r="S141" s="37"/>
      <c r="T141" s="37"/>
      <c r="AK141" s="101" t="s">
        <v>271</v>
      </c>
      <c r="AL141" s="26"/>
      <c r="AM141" s="26" t="s">
        <v>407</v>
      </c>
      <c r="AN141" s="26" t="s">
        <v>247</v>
      </c>
      <c r="AO141" s="58" t="s">
        <v>301</v>
      </c>
      <c r="AX141" s="100"/>
    </row>
    <row r="142" spans="3:50">
      <c r="C142" s="167" t="s">
        <v>383</v>
      </c>
      <c r="D142" s="37"/>
      <c r="E142" s="37"/>
      <c r="F142" s="37"/>
      <c r="G142" s="37"/>
      <c r="H142" s="37"/>
      <c r="I142" s="37"/>
      <c r="J142" s="37"/>
      <c r="K142" s="37"/>
      <c r="L142" s="37"/>
      <c r="M142" s="37"/>
      <c r="N142" s="37"/>
      <c r="O142" s="37"/>
      <c r="P142" s="37"/>
      <c r="Q142" s="37"/>
      <c r="R142" s="37"/>
      <c r="S142" s="37"/>
      <c r="T142" s="37"/>
      <c r="AK142" s="101" t="s">
        <v>263</v>
      </c>
      <c r="AL142" s="26"/>
      <c r="AM142" s="26" t="s">
        <v>408</v>
      </c>
      <c r="AN142" s="26" t="s">
        <v>251</v>
      </c>
      <c r="AO142" s="58" t="s">
        <v>301</v>
      </c>
      <c r="AW142" s="26" t="s">
        <v>239</v>
      </c>
      <c r="AX142" s="100"/>
    </row>
    <row r="143" spans="3:50" ht="14.1">
      <c r="C143" s="197" t="s">
        <v>409</v>
      </c>
      <c r="D143" s="197">
        <f t="shared" ref="D143:S143" si="38">SUM(D132:D142)</f>
        <v>0</v>
      </c>
      <c r="E143" s="197">
        <f t="shared" si="38"/>
        <v>0</v>
      </c>
      <c r="F143" s="197">
        <f t="shared" si="38"/>
        <v>0</v>
      </c>
      <c r="G143" s="197">
        <f t="shared" si="38"/>
        <v>0</v>
      </c>
      <c r="H143" s="197">
        <f t="shared" si="38"/>
        <v>0</v>
      </c>
      <c r="I143" s="197">
        <f t="shared" si="38"/>
        <v>0</v>
      </c>
      <c r="J143" s="197">
        <f t="shared" si="38"/>
        <v>0</v>
      </c>
      <c r="K143" s="197">
        <f t="shared" si="38"/>
        <v>0</v>
      </c>
      <c r="L143" s="197">
        <f t="shared" si="38"/>
        <v>0</v>
      </c>
      <c r="M143" s="197">
        <f t="shared" si="38"/>
        <v>0</v>
      </c>
      <c r="N143" s="197">
        <f t="shared" si="38"/>
        <v>0</v>
      </c>
      <c r="O143" s="197">
        <f t="shared" si="38"/>
        <v>0</v>
      </c>
      <c r="P143" s="197">
        <f t="shared" si="38"/>
        <v>0</v>
      </c>
      <c r="Q143" s="197">
        <f t="shared" si="38"/>
        <v>0</v>
      </c>
      <c r="R143" s="197">
        <f t="shared" si="38"/>
        <v>0</v>
      </c>
      <c r="S143" s="197">
        <f t="shared" si="38"/>
        <v>0</v>
      </c>
      <c r="T143" s="197">
        <f>SUM(T132:T142)</f>
        <v>0</v>
      </c>
      <c r="AK143" s="101" t="s">
        <v>267</v>
      </c>
      <c r="AL143" s="26" t="s">
        <v>410</v>
      </c>
      <c r="AM143" s="26" t="s">
        <v>411</v>
      </c>
      <c r="AN143" s="26" t="s">
        <v>219</v>
      </c>
      <c r="AO143" s="58"/>
      <c r="AQ143" s="25" t="s">
        <v>399</v>
      </c>
      <c r="AR143" s="25" t="s">
        <v>400</v>
      </c>
      <c r="AW143" s="26" t="s">
        <v>410</v>
      </c>
      <c r="AX143" s="100"/>
    </row>
    <row r="144" spans="3:50">
      <c r="I144" s="48"/>
      <c r="AK144" s="101" t="s">
        <v>277</v>
      </c>
      <c r="AL144" s="26" t="s">
        <v>410</v>
      </c>
      <c r="AM144" s="26" t="s">
        <v>412</v>
      </c>
      <c r="AN144" s="26" t="s">
        <v>219</v>
      </c>
      <c r="AO144" s="58"/>
      <c r="AQ144" s="25" t="s">
        <v>399</v>
      </c>
      <c r="AR144" s="25" t="s">
        <v>400</v>
      </c>
      <c r="AW144" s="26" t="s">
        <v>410</v>
      </c>
      <c r="AX144" s="100"/>
    </row>
    <row r="145" spans="3:50">
      <c r="AK145" s="101" t="s">
        <v>413</v>
      </c>
      <c r="AL145" s="26"/>
      <c r="AM145" s="26" t="s">
        <v>414</v>
      </c>
      <c r="AN145" s="26" t="s">
        <v>219</v>
      </c>
      <c r="AO145" s="58"/>
      <c r="AQ145" s="25" t="s">
        <v>399</v>
      </c>
      <c r="AR145" s="25" t="s">
        <v>400</v>
      </c>
      <c r="AW145" s="25" t="s">
        <v>415</v>
      </c>
      <c r="AX145" s="100"/>
    </row>
    <row r="146" spans="3:50" ht="14.1">
      <c r="C146" s="95" t="s">
        <v>416</v>
      </c>
      <c r="AK146" s="99"/>
      <c r="AX146" s="100"/>
    </row>
    <row r="147" spans="3:50" ht="110.4">
      <c r="C147" s="30" t="s">
        <v>377</v>
      </c>
      <c r="D147" s="83" t="s">
        <v>339</v>
      </c>
      <c r="E147" s="83" t="s">
        <v>378</v>
      </c>
      <c r="F147" s="83" t="s">
        <v>379</v>
      </c>
      <c r="G147" s="83" t="s">
        <v>168</v>
      </c>
      <c r="H147" s="83" t="s">
        <v>346</v>
      </c>
      <c r="I147" s="83" t="s">
        <v>347</v>
      </c>
      <c r="J147" s="83" t="s">
        <v>348</v>
      </c>
      <c r="K147" s="83" t="s">
        <v>349</v>
      </c>
      <c r="L147" s="83" t="s">
        <v>353</v>
      </c>
      <c r="M147" s="83" t="s">
        <v>380</v>
      </c>
      <c r="N147" s="83" t="s">
        <v>381</v>
      </c>
      <c r="O147" s="83" t="s">
        <v>358</v>
      </c>
      <c r="P147" s="83" t="s">
        <v>171</v>
      </c>
      <c r="Q147" s="83" t="s">
        <v>382</v>
      </c>
      <c r="R147" s="168" t="s">
        <v>383</v>
      </c>
      <c r="S147" s="168" t="s">
        <v>383</v>
      </c>
      <c r="T147" s="168" t="s">
        <v>383</v>
      </c>
      <c r="AK147" s="99" t="str">
        <f>AK133</f>
        <v>Velg arealtype</v>
      </c>
      <c r="AX147" s="100"/>
    </row>
    <row r="148" spans="3:50">
      <c r="C148" s="26" t="s">
        <v>384</v>
      </c>
      <c r="D148" s="169"/>
      <c r="E148" s="169"/>
      <c r="F148" s="169"/>
      <c r="G148" s="169"/>
      <c r="H148" s="169"/>
      <c r="I148" s="169"/>
      <c r="J148" s="169"/>
      <c r="K148" s="169"/>
      <c r="L148" s="169"/>
      <c r="M148" s="169"/>
      <c r="N148" s="169"/>
      <c r="O148" s="169"/>
      <c r="P148" s="169"/>
      <c r="Q148" s="169"/>
      <c r="R148" s="169"/>
      <c r="S148" s="169"/>
      <c r="T148" s="169"/>
      <c r="AK148" s="101" t="s">
        <v>146</v>
      </c>
      <c r="AL148" s="26" t="s">
        <v>417</v>
      </c>
      <c r="AM148" s="26" t="s">
        <v>418</v>
      </c>
      <c r="AN148" s="26" t="s">
        <v>219</v>
      </c>
      <c r="AO148" s="58"/>
      <c r="AQ148" s="25" t="s">
        <v>399</v>
      </c>
      <c r="AR148" s="25" t="s">
        <v>400</v>
      </c>
      <c r="AW148" s="26" t="s">
        <v>417</v>
      </c>
      <c r="AX148" s="100"/>
    </row>
    <row r="149" spans="3:50">
      <c r="C149" s="26" t="s">
        <v>388</v>
      </c>
      <c r="D149" s="169"/>
      <c r="E149" s="169"/>
      <c r="F149" s="169"/>
      <c r="G149" s="169"/>
      <c r="H149" s="169"/>
      <c r="I149" s="169"/>
      <c r="J149" s="169"/>
      <c r="K149" s="169"/>
      <c r="L149" s="169"/>
      <c r="M149" s="169"/>
      <c r="N149" s="169"/>
      <c r="O149" s="169"/>
      <c r="P149" s="169"/>
      <c r="Q149" s="169"/>
      <c r="R149" s="169"/>
      <c r="S149" s="169"/>
      <c r="T149" s="169"/>
      <c r="AK149" s="101" t="s">
        <v>144</v>
      </c>
      <c r="AL149" s="26" t="s">
        <v>419</v>
      </c>
      <c r="AM149" s="26" t="s">
        <v>420</v>
      </c>
      <c r="AN149" s="26" t="s">
        <v>257</v>
      </c>
      <c r="AO149" s="58" t="s">
        <v>301</v>
      </c>
      <c r="AW149" s="26" t="s">
        <v>419</v>
      </c>
      <c r="AX149" s="100"/>
    </row>
    <row r="150" spans="3:50">
      <c r="C150" s="26" t="s">
        <v>390</v>
      </c>
      <c r="D150" s="37"/>
      <c r="E150" s="37"/>
      <c r="F150" s="37"/>
      <c r="G150" s="37"/>
      <c r="H150" s="37"/>
      <c r="I150" s="37"/>
      <c r="J150" s="37"/>
      <c r="K150" s="37"/>
      <c r="L150" s="37"/>
      <c r="M150" s="37"/>
      <c r="N150" s="37"/>
      <c r="O150" s="37"/>
      <c r="P150" s="37"/>
      <c r="Q150" s="37"/>
      <c r="R150" s="37"/>
      <c r="S150" s="37"/>
      <c r="T150" s="37"/>
      <c r="AK150" s="101"/>
      <c r="AL150" s="26"/>
      <c r="AM150" s="26"/>
      <c r="AN150" s="26"/>
      <c r="AX150" s="100"/>
    </row>
    <row r="151" spans="3:50" ht="14.1" thickBot="1">
      <c r="C151" s="26" t="s">
        <v>392</v>
      </c>
      <c r="D151" s="37"/>
      <c r="E151" s="37"/>
      <c r="F151" s="37"/>
      <c r="G151" s="37"/>
      <c r="H151" s="37"/>
      <c r="I151" s="37"/>
      <c r="J151" s="37"/>
      <c r="K151" s="37"/>
      <c r="L151" s="37"/>
      <c r="M151" s="37"/>
      <c r="N151" s="37"/>
      <c r="O151" s="37"/>
      <c r="P151" s="37"/>
      <c r="Q151" s="37"/>
      <c r="R151" s="37"/>
      <c r="S151" s="37"/>
      <c r="T151" s="37"/>
      <c r="AK151" s="103" t="s">
        <v>421</v>
      </c>
      <c r="AL151" s="104"/>
      <c r="AM151" s="104"/>
      <c r="AN151" s="104"/>
      <c r="AO151" s="105"/>
      <c r="AP151" s="105"/>
      <c r="AQ151" s="105"/>
      <c r="AR151" s="105"/>
      <c r="AS151" s="105"/>
      <c r="AT151" s="105"/>
      <c r="AU151" s="105"/>
      <c r="AV151" s="105"/>
      <c r="AW151" s="105"/>
      <c r="AX151" s="106"/>
    </row>
    <row r="152" spans="3:50">
      <c r="C152" s="26" t="s">
        <v>395</v>
      </c>
      <c r="D152" s="37"/>
      <c r="E152" s="37"/>
      <c r="F152" s="37"/>
      <c r="G152" s="37"/>
      <c r="H152" s="37"/>
      <c r="I152" s="37"/>
      <c r="J152" s="37"/>
      <c r="K152" s="37"/>
      <c r="L152" s="37"/>
      <c r="M152" s="37"/>
      <c r="N152" s="37"/>
      <c r="O152" s="37"/>
      <c r="P152" s="37"/>
      <c r="Q152" s="37"/>
      <c r="R152" s="37"/>
      <c r="S152" s="37"/>
      <c r="T152" s="37"/>
    </row>
    <row r="153" spans="3:50">
      <c r="C153" s="26" t="s">
        <v>397</v>
      </c>
      <c r="D153" s="37"/>
      <c r="E153" s="37"/>
      <c r="F153" s="37"/>
      <c r="G153" s="37"/>
      <c r="H153" s="37"/>
      <c r="I153" s="37"/>
      <c r="J153" s="37"/>
      <c r="K153" s="37"/>
      <c r="L153" s="37"/>
      <c r="M153" s="37"/>
      <c r="N153" s="37"/>
      <c r="O153" s="37"/>
      <c r="P153" s="37"/>
      <c r="Q153" s="37"/>
      <c r="R153" s="37"/>
      <c r="S153" s="37"/>
      <c r="T153" s="37"/>
    </row>
    <row r="154" spans="3:50">
      <c r="C154" s="26" t="s">
        <v>401</v>
      </c>
      <c r="D154" s="37"/>
      <c r="E154" s="37"/>
      <c r="F154" s="37"/>
      <c r="G154" s="37"/>
      <c r="H154" s="37"/>
      <c r="I154" s="37"/>
      <c r="J154" s="37"/>
      <c r="K154" s="37"/>
      <c r="L154" s="37"/>
      <c r="M154" s="37"/>
      <c r="N154" s="37"/>
      <c r="O154" s="37"/>
      <c r="P154" s="37"/>
      <c r="Q154" s="37"/>
      <c r="R154" s="37"/>
      <c r="S154" s="37"/>
      <c r="T154" s="37"/>
    </row>
    <row r="155" spans="3:50">
      <c r="C155" s="26" t="s">
        <v>403</v>
      </c>
      <c r="D155" s="37"/>
      <c r="E155" s="37"/>
      <c r="F155" s="37"/>
      <c r="G155" s="37"/>
      <c r="H155" s="37"/>
      <c r="I155" s="37"/>
      <c r="J155" s="37"/>
      <c r="K155" s="37"/>
      <c r="L155" s="37"/>
      <c r="M155" s="37"/>
      <c r="N155" s="37"/>
      <c r="O155" s="37"/>
      <c r="P155" s="37"/>
      <c r="Q155" s="37"/>
      <c r="R155" s="37"/>
      <c r="S155" s="37"/>
      <c r="T155" s="37"/>
    </row>
    <row r="156" spans="3:50">
      <c r="C156" s="167" t="s">
        <v>383</v>
      </c>
      <c r="D156" s="37"/>
      <c r="E156" s="37"/>
      <c r="F156" s="37"/>
      <c r="G156" s="37"/>
      <c r="H156" s="37"/>
      <c r="I156" s="37"/>
      <c r="J156" s="37"/>
      <c r="K156" s="37"/>
      <c r="L156" s="37"/>
      <c r="M156" s="37"/>
      <c r="N156" s="37"/>
      <c r="O156" s="37"/>
      <c r="P156" s="37"/>
      <c r="Q156" s="37"/>
      <c r="R156" s="37"/>
      <c r="S156" s="37"/>
      <c r="T156" s="37"/>
    </row>
    <row r="157" spans="3:50">
      <c r="C157" s="167" t="s">
        <v>383</v>
      </c>
      <c r="D157" s="37"/>
      <c r="E157" s="37"/>
      <c r="F157" s="37"/>
      <c r="G157" s="37"/>
      <c r="H157" s="37"/>
      <c r="I157" s="37"/>
      <c r="J157" s="37"/>
      <c r="K157" s="37"/>
      <c r="L157" s="37"/>
      <c r="M157" s="37"/>
      <c r="N157" s="37"/>
      <c r="O157" s="37"/>
      <c r="P157" s="37"/>
      <c r="Q157" s="37"/>
      <c r="R157" s="37"/>
      <c r="S157" s="37"/>
      <c r="T157" s="37"/>
    </row>
    <row r="158" spans="3:50">
      <c r="C158" s="167" t="s">
        <v>383</v>
      </c>
      <c r="D158" s="37"/>
      <c r="E158" s="37"/>
      <c r="F158" s="37"/>
      <c r="G158" s="37"/>
      <c r="H158" s="37"/>
      <c r="I158" s="37"/>
      <c r="J158" s="37"/>
      <c r="K158" s="37"/>
      <c r="L158" s="37"/>
      <c r="M158" s="37"/>
      <c r="N158" s="37"/>
      <c r="O158" s="37"/>
      <c r="P158" s="37"/>
      <c r="Q158" s="37"/>
      <c r="R158" s="37"/>
      <c r="S158" s="37"/>
      <c r="T158" s="37"/>
    </row>
    <row r="159" spans="3:50" ht="14.1">
      <c r="C159" s="197" t="s">
        <v>409</v>
      </c>
      <c r="D159" s="197">
        <f t="shared" ref="D159" si="39">SUM(D148:D158)</f>
        <v>0</v>
      </c>
      <c r="E159" s="197">
        <f t="shared" ref="E159" si="40">SUM(E148:E158)</f>
        <v>0</v>
      </c>
      <c r="F159" s="197">
        <f t="shared" ref="F159" si="41">SUM(F148:F158)</f>
        <v>0</v>
      </c>
      <c r="G159" s="197">
        <f t="shared" ref="G159" si="42">SUM(G148:G158)</f>
        <v>0</v>
      </c>
      <c r="H159" s="197">
        <f t="shared" ref="H159" si="43">SUM(H148:H158)</f>
        <v>0</v>
      </c>
      <c r="I159" s="197">
        <f t="shared" ref="I159" si="44">SUM(I148:I158)</f>
        <v>0</v>
      </c>
      <c r="J159" s="197">
        <f t="shared" ref="J159" si="45">SUM(J148:J158)</f>
        <v>0</v>
      </c>
      <c r="K159" s="197">
        <f t="shared" ref="K159" si="46">SUM(K148:K158)</f>
        <v>0</v>
      </c>
      <c r="L159" s="197">
        <f t="shared" ref="L159" si="47">SUM(L148:L158)</f>
        <v>0</v>
      </c>
      <c r="M159" s="197">
        <f t="shared" ref="M159" si="48">SUM(M148:M158)</f>
        <v>0</v>
      </c>
      <c r="N159" s="197">
        <f t="shared" ref="N159" si="49">SUM(N148:N158)</f>
        <v>0</v>
      </c>
      <c r="O159" s="197">
        <f t="shared" ref="O159" si="50">SUM(O148:O158)</f>
        <v>0</v>
      </c>
      <c r="P159" s="197">
        <f t="shared" ref="P159" si="51">SUM(P148:P158)</f>
        <v>0</v>
      </c>
      <c r="Q159" s="197">
        <f t="shared" ref="Q159" si="52">SUM(Q148:Q158)</f>
        <v>0</v>
      </c>
      <c r="R159" s="197">
        <f t="shared" ref="R159" si="53">SUM(R148:R158)</f>
        <v>0</v>
      </c>
      <c r="S159" s="197">
        <f t="shared" ref="S159" si="54">SUM(S148:S158)</f>
        <v>0</v>
      </c>
      <c r="T159" s="197">
        <f>SUM(T148:T158)</f>
        <v>0</v>
      </c>
    </row>
  </sheetData>
  <sheetProtection algorithmName="SHA-512" hashValue="8T2oOkQl7r1ha3r4eND8mGOr23ugZHyMMrPimTZreO8XVa4Z/ViEFjA/bdLMCIqOlvF2wIhAABLsz4C/go6PnQ==" saltValue="pw+dn20bVh/uqkAy/pAiqg==" spinCount="100000" sheet="1" objects="1" scenarios="1"/>
  <mergeCells count="92">
    <mergeCell ref="D109:F109"/>
    <mergeCell ref="D114:F114"/>
    <mergeCell ref="F65:J65"/>
    <mergeCell ref="F66:J66"/>
    <mergeCell ref="G37:J37"/>
    <mergeCell ref="H87:H88"/>
    <mergeCell ref="F60:J60"/>
    <mergeCell ref="F61:J61"/>
    <mergeCell ref="F62:J62"/>
    <mergeCell ref="F63:J63"/>
    <mergeCell ref="F64:J64"/>
    <mergeCell ref="F57:J57"/>
    <mergeCell ref="F56:J56"/>
    <mergeCell ref="F55:J55"/>
    <mergeCell ref="F54:J54"/>
    <mergeCell ref="I92:L92"/>
    <mergeCell ref="G30:J30"/>
    <mergeCell ref="E27:F27"/>
    <mergeCell ref="G27:H27"/>
    <mergeCell ref="I27:J27"/>
    <mergeCell ref="G31:J31"/>
    <mergeCell ref="G32:J32"/>
    <mergeCell ref="I98:L98"/>
    <mergeCell ref="I99:L99"/>
    <mergeCell ref="C100:L103"/>
    <mergeCell ref="D48:D49"/>
    <mergeCell ref="E48:E49"/>
    <mergeCell ref="F48:F49"/>
    <mergeCell ref="G48:G49"/>
    <mergeCell ref="H48:J49"/>
    <mergeCell ref="C96:C97"/>
    <mergeCell ref="D96:H96"/>
    <mergeCell ref="I83:L83"/>
    <mergeCell ref="I84:L84"/>
    <mergeCell ref="I85:L85"/>
    <mergeCell ref="I86:L86"/>
    <mergeCell ref="I93:L93"/>
    <mergeCell ref="C78:C79"/>
    <mergeCell ref="H78:H79"/>
    <mergeCell ref="I81:L81"/>
    <mergeCell ref="I82:L82"/>
    <mergeCell ref="I80:L80"/>
    <mergeCell ref="I91:L91"/>
    <mergeCell ref="G67:J67"/>
    <mergeCell ref="G68:J68"/>
    <mergeCell ref="G69:J69"/>
    <mergeCell ref="D78:G78"/>
    <mergeCell ref="D86:F86"/>
    <mergeCell ref="D90:F90"/>
    <mergeCell ref="I87:L87"/>
    <mergeCell ref="I88:L88"/>
    <mergeCell ref="I89:L89"/>
    <mergeCell ref="I90:L90"/>
    <mergeCell ref="D85:F85"/>
    <mergeCell ref="H50:J50"/>
    <mergeCell ref="H51:J51"/>
    <mergeCell ref="G34:J34"/>
    <mergeCell ref="G35:J35"/>
    <mergeCell ref="G36:J36"/>
    <mergeCell ref="G38:J38"/>
    <mergeCell ref="G39:J39"/>
    <mergeCell ref="F44:J44"/>
    <mergeCell ref="AG17:AK17"/>
    <mergeCell ref="AN17:AR17"/>
    <mergeCell ref="C7:O7"/>
    <mergeCell ref="K17:K18"/>
    <mergeCell ref="E25:F25"/>
    <mergeCell ref="G25:H25"/>
    <mergeCell ref="I25:J25"/>
    <mergeCell ref="E17:F17"/>
    <mergeCell ref="G17:H17"/>
    <mergeCell ref="I17:J17"/>
    <mergeCell ref="D8:O8"/>
    <mergeCell ref="D9:O9"/>
    <mergeCell ref="D10:O10"/>
    <mergeCell ref="D11:O11"/>
    <mergeCell ref="V1:BB1"/>
    <mergeCell ref="D99:E99"/>
    <mergeCell ref="G97:H97"/>
    <mergeCell ref="G98:H98"/>
    <mergeCell ref="G99:H99"/>
    <mergeCell ref="D87:F87"/>
    <mergeCell ref="D88:F88"/>
    <mergeCell ref="D98:E98"/>
    <mergeCell ref="AS17:AW17"/>
    <mergeCell ref="AX17:BB17"/>
    <mergeCell ref="AN16:BB16"/>
    <mergeCell ref="AO36:AT36"/>
    <mergeCell ref="V65:Z65"/>
    <mergeCell ref="E26:F26"/>
    <mergeCell ref="G26:H26"/>
    <mergeCell ref="L17:N17"/>
  </mergeCells>
  <conditionalFormatting sqref="C29:J30">
    <cfRule type="expression" dxfId="169" priority="69">
      <formula>$V$40=0</formula>
    </cfRule>
  </conditionalFormatting>
  <conditionalFormatting sqref="K19:K24">
    <cfRule type="expression" dxfId="168" priority="60">
      <formula>V19=1</formula>
    </cfRule>
  </conditionalFormatting>
  <conditionalFormatting sqref="E19:J19 E20:H21 J20:J21 E22:J22 E23:I24">
    <cfRule type="expression" dxfId="167" priority="58">
      <formula>$W19=0</formula>
    </cfRule>
    <cfRule type="expression" dxfId="166" priority="59">
      <formula>$W19=1</formula>
    </cfRule>
  </conditionalFormatting>
  <conditionalFormatting sqref="M19:N24">
    <cfRule type="expression" dxfId="165" priority="52">
      <formula>$X19=0</formula>
    </cfRule>
    <cfRule type="expression" dxfId="164" priority="54">
      <formula>$X19=1</formula>
    </cfRule>
  </conditionalFormatting>
  <conditionalFormatting sqref="N19:N24">
    <cfRule type="expression" dxfId="163" priority="45">
      <formula>$L19&lt;&gt;""</formula>
    </cfRule>
  </conditionalFormatting>
  <conditionalFormatting sqref="C43:J43 C44:F44 C45:C46">
    <cfRule type="expression" dxfId="162" priority="44">
      <formula>$V$46=0</formula>
    </cfRule>
  </conditionalFormatting>
  <conditionalFormatting sqref="I20:I21">
    <cfRule type="expression" dxfId="161" priority="39">
      <formula>$W20=0</formula>
    </cfRule>
    <cfRule type="expression" dxfId="160" priority="40">
      <formula>$W20=1</formula>
    </cfRule>
  </conditionalFormatting>
  <conditionalFormatting sqref="H85">
    <cfRule type="iconSet" priority="25">
      <iconSet>
        <cfvo type="percent" val="0"/>
        <cfvo type="percent" val="33"/>
        <cfvo type="percent" val="67"/>
      </iconSet>
    </cfRule>
  </conditionalFormatting>
  <conditionalFormatting sqref="J23:J24">
    <cfRule type="expression" dxfId="159" priority="72">
      <formula>$W23=0</formula>
    </cfRule>
    <cfRule type="expression" dxfId="158" priority="73">
      <formula>$W23=1</formula>
    </cfRule>
  </conditionalFormatting>
  <conditionalFormatting sqref="E25:F26">
    <cfRule type="expression" dxfId="157" priority="74">
      <formula>$V$29=0</formula>
    </cfRule>
    <cfRule type="expression" dxfId="156" priority="75">
      <formula>$V$29&gt;0</formula>
    </cfRule>
  </conditionalFormatting>
  <conditionalFormatting sqref="G25:H26">
    <cfRule type="expression" dxfId="155" priority="76">
      <formula>$W$29=0</formula>
    </cfRule>
    <cfRule type="expression" dxfId="154" priority="77">
      <formula>$W$29&gt;0</formula>
    </cfRule>
  </conditionalFormatting>
  <conditionalFormatting sqref="I27:J27">
    <cfRule type="expression" dxfId="153" priority="78">
      <formula>$X$29=0</formula>
    </cfRule>
    <cfRule type="expression" dxfId="152" priority="79">
      <formula>$X$29&gt;0</formula>
    </cfRule>
  </conditionalFormatting>
  <conditionalFormatting sqref="D80:D91">
    <cfRule type="expression" dxfId="151" priority="80">
      <formula>$V$29=0</formula>
    </cfRule>
  </conditionalFormatting>
  <conditionalFormatting sqref="E80:E84 E89 E91">
    <cfRule type="expression" dxfId="150" priority="81">
      <formula>$W$29=0</formula>
    </cfRule>
  </conditionalFormatting>
  <conditionalFormatting sqref="F82:F84 F89 F91">
    <cfRule type="expression" dxfId="149" priority="84">
      <formula>$V$30=0</formula>
    </cfRule>
  </conditionalFormatting>
  <conditionalFormatting sqref="G27:H27">
    <cfRule type="expression" dxfId="148" priority="87">
      <formula>$W$29&gt;0</formula>
    </cfRule>
  </conditionalFormatting>
  <conditionalFormatting sqref="F44:J44">
    <cfRule type="expression" dxfId="147" priority="15">
      <formula>$V$46=0</formula>
    </cfRule>
  </conditionalFormatting>
  <conditionalFormatting sqref="D92">
    <cfRule type="expression" dxfId="146" priority="4">
      <formula>$D$92=0</formula>
    </cfRule>
    <cfRule type="expression" dxfId="145" priority="89">
      <formula>$E$44&lt;&gt;Nei</formula>
    </cfRule>
  </conditionalFormatting>
  <conditionalFormatting sqref="E37">
    <cfRule type="expression" dxfId="144" priority="9">
      <formula>$E$36=""</formula>
    </cfRule>
    <cfRule type="expression" dxfId="143" priority="10">
      <formula>$E$36=0</formula>
    </cfRule>
  </conditionalFormatting>
  <conditionalFormatting sqref="D86:F86">
    <cfRule type="expression" dxfId="142" priority="8">
      <formula>$D$86=0</formula>
    </cfRule>
  </conditionalFormatting>
  <conditionalFormatting sqref="D87:F87">
    <cfRule type="expression" dxfId="141" priority="7">
      <formula>$D$87=0</formula>
    </cfRule>
  </conditionalFormatting>
  <conditionalFormatting sqref="D88:F88">
    <cfRule type="expression" dxfId="140" priority="6">
      <formula>$D$88=0</formula>
    </cfRule>
  </conditionalFormatting>
  <conditionalFormatting sqref="D90:F90">
    <cfRule type="expression" dxfId="139" priority="5">
      <formula>$D$90=0</formula>
    </cfRule>
  </conditionalFormatting>
  <conditionalFormatting sqref="AB4:AC4">
    <cfRule type="expression" dxfId="138" priority="3">
      <formula>$Z$11=0</formula>
    </cfRule>
  </conditionalFormatting>
  <conditionalFormatting sqref="C130:T159">
    <cfRule type="expression" dxfId="137" priority="2">
      <formula>$D$128=$AA$126</formula>
    </cfRule>
  </conditionalFormatting>
  <conditionalFormatting sqref="D81">
    <cfRule type="expression" dxfId="136" priority="1">
      <formula>$E$25+$E$26=0</formula>
    </cfRule>
  </conditionalFormatting>
  <dataValidations count="7">
    <dataValidation type="whole" operator="lessThan" allowBlank="1" showInputMessage="1" showErrorMessage="1" error="Oppgi produsert strøm fra solceller som negativt tall" sqref="E39" xr:uid="{5ED009E0-4222-4BF4-B65E-85E82C6CB7B0}">
      <formula1>1</formula1>
    </dataValidation>
    <dataValidation type="list" allowBlank="1" showInputMessage="1" showErrorMessage="1" sqref="E44" xr:uid="{A4BBDF41-9A04-446B-8124-249B50E946F5}">
      <formula1>$AA$45:$AA$47</formula1>
    </dataValidation>
    <dataValidation type="list" allowBlank="1" showInputMessage="1" showErrorMessage="1" sqref="D41" xr:uid="{8F556578-1BC7-4634-AD28-6772C401C4C3}">
      <formula1>$AA$40:$AA$42</formula1>
    </dataValidation>
    <dataValidation type="list" allowBlank="1" showInputMessage="1" showErrorMessage="1" sqref="G50:G51" xr:uid="{66C572F5-7837-442F-9DA1-A46FC41A0E16}">
      <formula1>$V$53:$V$56</formula1>
    </dataValidation>
    <dataValidation type="list" allowBlank="1" showInputMessage="1" showErrorMessage="1" sqref="D23:D24" xr:uid="{DE322309-D133-4E3C-A527-72D7599A0885}">
      <formula1>$AK$147:$AK$149</formula1>
    </dataValidation>
    <dataValidation type="list" allowBlank="1" showInputMessage="1" showErrorMessage="1" sqref="D19:D22" xr:uid="{D673F873-C48A-49F3-9BCF-B869381C0A8B}">
      <formula1>$AK$133:$AK$145</formula1>
    </dataValidation>
    <dataValidation type="list" allowBlank="1" showInputMessage="1" showErrorMessage="1" sqref="D128" xr:uid="{4665A334-2627-4CF2-A295-F5B12AC9BC50}">
      <formula1>$AA$125:$AA$126</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7" id="{00000000-000E-0000-0400-00000C000000}">
            <x14:iconSet custom="1">
              <x14:cfvo type="percent">
                <xm:f>0</xm:f>
              </x14:cfvo>
              <x14:cfvo type="num">
                <xm:f>0</xm:f>
              </x14:cfvo>
              <x14:cfvo type="num" gte="0">
                <xm:f>0</xm:f>
              </x14:cfvo>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36" id="{443E9876-C513-476B-806A-7A4699A4F32E}">
            <x14:iconSet custom="1">
              <x14:cfvo type="percent">
                <xm:f>0</xm:f>
              </x14:cfvo>
              <x14:cfvo type="num">
                <xm:f>0.09</xm:f>
              </x14:cfvo>
              <x14:cfvo type="num">
                <xm:f>0.11</xm:f>
              </x14:cfvo>
              <x14:cfIcon iconSet="3TrafficLights1" iconId="1"/>
              <x14:cfIcon iconSet="3TrafficLights1" iconId="2"/>
              <x14:cfIcon iconSet="3TrafficLights1" iconId="0"/>
            </x14:iconSet>
          </x14:cfRule>
          <xm:sqref>H80</xm:sqref>
        </x14:conditionalFormatting>
        <x14:conditionalFormatting xmlns:xm="http://schemas.microsoft.com/office/excel/2006/main">
          <x14:cfRule type="iconSet" priority="22" id="{DE35AE94-9AC1-488F-8FCA-19B4C08CEC7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H81</xm:sqref>
        </x14:conditionalFormatting>
        <x14:conditionalFormatting xmlns:xm="http://schemas.microsoft.com/office/excel/2006/main">
          <x14:cfRule type="iconSet" priority="24" id="{F68F1791-E4A4-4F65-B648-BB30531AC54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21" id="{1349469B-1F68-4E32-ABB3-106DF1EE763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H83</xm:sqref>
        </x14:conditionalFormatting>
        <x14:conditionalFormatting xmlns:xm="http://schemas.microsoft.com/office/excel/2006/main">
          <x14:cfRule type="iconSet" priority="20" id="{393963D6-4B1F-48BA-9BC9-D420B17100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7" id="{41D6E2E9-EC81-4409-B746-EE9ED7E7C7A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H91</xm:sqref>
        </x14:conditionalFormatting>
        <x14:conditionalFormatting xmlns:xm="http://schemas.microsoft.com/office/excel/2006/main">
          <x14:cfRule type="iconSet" priority="18" id="{A5282AC9-7289-4055-B208-8D27B3A7FAE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9" id="{C047CEE9-5C5A-41C0-ADC6-FACF9482D48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6" id="{2AE20712-0E76-4CD6-ADB5-AF2266C575D6}">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1016-A387-4D6B-8546-20E5DF7DCA28}">
  <sheetPr>
    <pageSetUpPr fitToPage="1"/>
  </sheetPr>
  <dimension ref="C1:BB159"/>
  <sheetViews>
    <sheetView showGridLines="0" zoomScale="85" zoomScaleNormal="85" workbookViewId="0">
      <selection activeCell="C100" sqref="C100:L103"/>
    </sheetView>
  </sheetViews>
  <sheetFormatPr baseColWidth="10" defaultColWidth="9.15625" defaultRowHeight="13.8"/>
  <cols>
    <col min="1" max="1" width="1.68359375" style="25" customWidth="1"/>
    <col min="2" max="2" width="1" style="25" customWidth="1"/>
    <col min="3" max="3" width="64.83984375" style="25" customWidth="1"/>
    <col min="4" max="4" width="35.15625" style="25" customWidth="1"/>
    <col min="5" max="5" width="18.68359375" style="25" customWidth="1"/>
    <col min="6" max="6" width="17.41796875" style="25" customWidth="1"/>
    <col min="7" max="7" width="16.578125" style="25" bestFit="1" customWidth="1"/>
    <col min="8" max="8" width="15.578125" style="25" customWidth="1"/>
    <col min="9" max="9" width="15.15625" style="25" bestFit="1" customWidth="1"/>
    <col min="10" max="10" width="6.15625" style="25" customWidth="1"/>
    <col min="11" max="11" width="11.41796875" style="25" customWidth="1"/>
    <col min="12" max="12" width="30.83984375" style="25" customWidth="1"/>
    <col min="13" max="13" width="6.26171875" style="25" bestFit="1" customWidth="1"/>
    <col min="14" max="14" width="6.15625" style="25" bestFit="1" customWidth="1"/>
    <col min="15" max="15" width="27.41796875" style="25" customWidth="1"/>
    <col min="16" max="16" width="17.41796875" style="25" customWidth="1"/>
    <col min="17" max="17" width="13.83984375" style="25" customWidth="1"/>
    <col min="18" max="18" width="14.68359375" style="25" customWidth="1"/>
    <col min="19" max="20" width="9.15625" style="25" customWidth="1"/>
    <col min="21" max="21" width="3.15625" style="25" hidden="1" customWidth="1"/>
    <col min="22" max="22" width="25" style="25" hidden="1" customWidth="1"/>
    <col min="23" max="23" width="9.15625" style="25" hidden="1" customWidth="1"/>
    <col min="24" max="24" width="13" style="25" hidden="1" customWidth="1"/>
    <col min="25" max="25" width="9.15625" style="25" hidden="1" customWidth="1"/>
    <col min="26" max="26" width="14.41796875" style="25" hidden="1" customWidth="1"/>
    <col min="27" max="27" width="22.83984375" style="25" hidden="1" customWidth="1"/>
    <col min="28" max="30" width="9.15625" style="25" hidden="1" customWidth="1"/>
    <col min="31" max="31" width="29.26171875" style="25" hidden="1" customWidth="1"/>
    <col min="32" max="32" width="31.83984375" style="25" hidden="1" customWidth="1"/>
    <col min="33" max="33" width="32.26171875" style="25" hidden="1" customWidth="1"/>
    <col min="34" max="34" width="18.83984375" style="25" hidden="1" customWidth="1"/>
    <col min="35" max="35" width="37.68359375" style="25" hidden="1" customWidth="1"/>
    <col min="36" max="36" width="9.15625" style="25" hidden="1" customWidth="1"/>
    <col min="37" max="37" width="34.68359375" style="25" hidden="1" customWidth="1"/>
    <col min="38" max="38" width="25.15625" style="25" hidden="1" customWidth="1"/>
    <col min="39" max="39" width="23.83984375" style="25" hidden="1" customWidth="1"/>
    <col min="40" max="40" width="35" style="25" hidden="1" customWidth="1"/>
    <col min="41" max="41" width="20.41796875" style="25" hidden="1" customWidth="1"/>
    <col min="42" max="42" width="9.15625" style="25" hidden="1" customWidth="1"/>
    <col min="43" max="43" width="20.83984375" style="25" hidden="1" customWidth="1"/>
    <col min="44" max="44" width="9.15625" style="25" hidden="1" customWidth="1"/>
    <col min="45" max="45" width="14.15625" style="25" hidden="1" customWidth="1"/>
    <col min="46" max="46" width="19.578125" style="25" hidden="1" customWidth="1"/>
    <col min="47" max="48" width="9.15625" style="25" hidden="1" customWidth="1"/>
    <col min="49" max="49" width="12.578125" style="25" hidden="1" customWidth="1"/>
    <col min="50" max="50" width="12.15625" style="25" hidden="1" customWidth="1"/>
    <col min="51" max="51" width="19.578125" style="25" hidden="1" customWidth="1"/>
    <col min="52" max="52" width="12" style="25" hidden="1" customWidth="1"/>
    <col min="53" max="53" width="9.15625" style="25" hidden="1" customWidth="1"/>
    <col min="54" max="54" width="13" style="25" hidden="1" customWidth="1"/>
    <col min="55" max="16384" width="9.15625" style="25"/>
  </cols>
  <sheetData>
    <row r="1" spans="3:54">
      <c r="V1" s="309" t="s">
        <v>140</v>
      </c>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row>
    <row r="2" spans="3:54" ht="27">
      <c r="C2" s="23" t="str">
        <f>"Alternativ 2: "&amp;D4</f>
        <v xml:space="preserve">Alternativ 2: </v>
      </c>
      <c r="D2" s="24"/>
    </row>
    <row r="3" spans="3:54" ht="15.75" customHeight="1"/>
    <row r="4" spans="3:54" ht="15.75" customHeight="1">
      <c r="C4" s="107" t="s">
        <v>141</v>
      </c>
      <c r="D4" s="108"/>
      <c r="E4" s="109"/>
      <c r="F4" s="109"/>
      <c r="G4" s="109"/>
      <c r="H4" s="109"/>
      <c r="I4" s="109"/>
      <c r="J4" s="109"/>
      <c r="K4" s="109"/>
      <c r="L4" s="109"/>
      <c r="M4" s="109"/>
      <c r="N4" s="109"/>
      <c r="O4" s="109"/>
      <c r="AB4" s="20" t="s">
        <v>54</v>
      </c>
      <c r="AC4" s="20" t="s">
        <v>55</v>
      </c>
    </row>
    <row r="5" spans="3:54" ht="15.75" customHeight="1">
      <c r="C5" s="109"/>
      <c r="D5" s="109"/>
      <c r="E5" s="109"/>
      <c r="F5" s="109"/>
      <c r="G5" s="109"/>
      <c r="H5" s="109"/>
      <c r="I5" s="109"/>
      <c r="J5" s="109"/>
      <c r="K5" s="109"/>
      <c r="L5" s="109"/>
      <c r="M5" s="109"/>
      <c r="N5" s="109"/>
      <c r="O5" s="109"/>
      <c r="AA5" s="21" t="s">
        <v>56</v>
      </c>
      <c r="AB5" s="26">
        <f>SUM(E19:E22)</f>
        <v>0</v>
      </c>
      <c r="AC5" s="26">
        <f>SUM(F19:F22)</f>
        <v>0</v>
      </c>
    </row>
    <row r="6" spans="3:54" ht="15.75" customHeight="1">
      <c r="C6" s="109"/>
      <c r="D6" s="109"/>
      <c r="E6" s="109"/>
      <c r="F6" s="109"/>
      <c r="G6" s="109"/>
      <c r="H6" s="109"/>
      <c r="I6" s="109"/>
      <c r="J6" s="109"/>
      <c r="K6" s="109"/>
      <c r="L6" s="109"/>
      <c r="M6" s="109"/>
      <c r="N6" s="109"/>
      <c r="O6" s="109"/>
      <c r="AA6" s="21" t="s">
        <v>57</v>
      </c>
      <c r="AB6" s="26">
        <f>SUM(G19:G22)</f>
        <v>0</v>
      </c>
      <c r="AC6" s="26">
        <f>SUM(H19:H22)</f>
        <v>0</v>
      </c>
    </row>
    <row r="7" spans="3:54" ht="15.75" customHeight="1">
      <c r="C7" s="342" t="s">
        <v>142</v>
      </c>
      <c r="D7" s="342"/>
      <c r="E7" s="342"/>
      <c r="F7" s="342"/>
      <c r="G7" s="342"/>
      <c r="H7" s="342"/>
      <c r="I7" s="342"/>
      <c r="J7" s="342"/>
      <c r="K7" s="342"/>
      <c r="L7" s="342"/>
      <c r="M7" s="342"/>
      <c r="N7" s="342"/>
      <c r="O7" s="342"/>
      <c r="AA7" s="21" t="s">
        <v>58</v>
      </c>
      <c r="AB7" s="26">
        <f>SUM(I19:I22)</f>
        <v>0</v>
      </c>
      <c r="AC7" s="26">
        <f>SUM(J19:J22)</f>
        <v>0</v>
      </c>
    </row>
    <row r="8" spans="3:54" ht="30" customHeight="1">
      <c r="C8" s="110" t="s">
        <v>143</v>
      </c>
      <c r="D8" s="352"/>
      <c r="E8" s="353"/>
      <c r="F8" s="353"/>
      <c r="G8" s="353"/>
      <c r="H8" s="353"/>
      <c r="I8" s="353"/>
      <c r="J8" s="353"/>
      <c r="K8" s="353"/>
      <c r="L8" s="353"/>
      <c r="M8" s="353"/>
      <c r="N8" s="353"/>
      <c r="O8" s="354"/>
      <c r="Z8" s="25" t="s">
        <v>144</v>
      </c>
      <c r="AA8" s="21" t="s">
        <v>59</v>
      </c>
      <c r="AB8" s="26">
        <f>SUMIF($D$23:$D$24,$Z$8,E23:E24)+SUMIF($D$23:$D$24,$Z$8,G23:G24)</f>
        <v>0</v>
      </c>
      <c r="AC8" s="26">
        <f>SUMIF($D$23:$D$24,$Z$8,F23:F24)+SUMIF($D$23:$D$24,$Z$8,H23:H24)</f>
        <v>0</v>
      </c>
    </row>
    <row r="9" spans="3:54" ht="30" customHeight="1">
      <c r="C9" s="111" t="s">
        <v>145</v>
      </c>
      <c r="D9" s="352"/>
      <c r="E9" s="353"/>
      <c r="F9" s="353"/>
      <c r="G9" s="353"/>
      <c r="H9" s="353"/>
      <c r="I9" s="353"/>
      <c r="J9" s="353"/>
      <c r="K9" s="353"/>
      <c r="L9" s="353"/>
      <c r="M9" s="353"/>
      <c r="N9" s="353"/>
      <c r="O9" s="354"/>
      <c r="Z9" s="25" t="s">
        <v>146</v>
      </c>
      <c r="AA9" s="21" t="s">
        <v>60</v>
      </c>
      <c r="AB9" s="26">
        <f>SUMIF($D$23:$D$24,$Z$9,E23:E24)+SUMIF($D$23:$D$24,$Z$9,G23:G24)</f>
        <v>0</v>
      </c>
      <c r="AC9" s="26">
        <f>SUMIF($D$23:$D$24,$Z$9,F23:F24)+SUMIF($D$23:$D$24,$Z$9,H23:H24)</f>
        <v>0</v>
      </c>
    </row>
    <row r="10" spans="3:54" ht="30" customHeight="1">
      <c r="C10" s="110" t="s">
        <v>147</v>
      </c>
      <c r="D10" s="352"/>
      <c r="E10" s="353"/>
      <c r="F10" s="353"/>
      <c r="G10" s="353"/>
      <c r="H10" s="353"/>
      <c r="I10" s="353"/>
      <c r="J10" s="353"/>
      <c r="K10" s="353"/>
      <c r="L10" s="353"/>
      <c r="M10" s="353"/>
      <c r="N10" s="353"/>
      <c r="O10" s="354"/>
    </row>
    <row r="11" spans="3:54" ht="30" customHeight="1">
      <c r="C11" s="110" t="s">
        <v>148</v>
      </c>
      <c r="D11" s="352"/>
      <c r="E11" s="353"/>
      <c r="F11" s="353"/>
      <c r="G11" s="353"/>
      <c r="H11" s="353"/>
      <c r="I11" s="353"/>
      <c r="J11" s="353"/>
      <c r="K11" s="353"/>
      <c r="L11" s="353"/>
      <c r="M11" s="353"/>
      <c r="N11" s="353"/>
      <c r="O11" s="354"/>
    </row>
    <row r="12" spans="3:54" ht="15.75" customHeight="1">
      <c r="C12" s="109"/>
      <c r="D12" s="109"/>
      <c r="E12" s="109"/>
      <c r="F12" s="109"/>
      <c r="G12" s="109"/>
      <c r="H12" s="109"/>
      <c r="I12" s="109"/>
      <c r="J12" s="109"/>
      <c r="K12" s="109"/>
      <c r="L12" s="109"/>
      <c r="M12" s="109"/>
      <c r="N12" s="109"/>
      <c r="O12" s="109"/>
    </row>
    <row r="13" spans="3:54" ht="15.75" customHeight="1">
      <c r="C13" s="109"/>
      <c r="D13" s="109"/>
      <c r="E13" s="109"/>
      <c r="F13" s="109"/>
      <c r="G13" s="109"/>
      <c r="H13" s="109"/>
      <c r="I13" s="109"/>
      <c r="J13" s="109"/>
      <c r="K13" s="109"/>
      <c r="L13" s="109"/>
      <c r="M13" s="109"/>
      <c r="N13" s="109"/>
      <c r="O13" s="109"/>
    </row>
    <row r="14" spans="3:54" ht="15.75" customHeight="1">
      <c r="C14" s="173" t="s">
        <v>149</v>
      </c>
      <c r="D14" s="174"/>
      <c r="E14" s="109"/>
      <c r="F14" s="109"/>
      <c r="G14" s="109"/>
      <c r="H14" s="109"/>
      <c r="I14" s="109"/>
      <c r="J14" s="109"/>
      <c r="K14" s="109"/>
      <c r="L14" s="109"/>
      <c r="M14" s="109"/>
      <c r="N14" s="109"/>
      <c r="O14" s="109"/>
    </row>
    <row r="15" spans="3:54" ht="15.75" customHeight="1" thickBot="1">
      <c r="C15" s="175" t="s">
        <v>150</v>
      </c>
      <c r="D15" s="176"/>
      <c r="E15" s="109"/>
      <c r="F15" s="109"/>
      <c r="G15" s="109"/>
      <c r="H15" s="109"/>
      <c r="I15" s="109"/>
      <c r="J15" s="109"/>
      <c r="K15" s="109"/>
      <c r="L15" s="109"/>
      <c r="M15" s="109"/>
      <c r="N15" s="109"/>
      <c r="O15" s="109"/>
    </row>
    <row r="16" spans="3:54" ht="14.1" thickBot="1">
      <c r="C16" s="109"/>
      <c r="D16" s="109"/>
      <c r="E16" s="109"/>
      <c r="F16" s="109"/>
      <c r="G16" s="109"/>
      <c r="H16" s="109"/>
      <c r="I16" s="109"/>
      <c r="J16" s="109"/>
      <c r="K16" s="109"/>
      <c r="L16" s="109"/>
      <c r="M16" s="109"/>
      <c r="N16" s="109"/>
      <c r="O16" s="109"/>
      <c r="AE16" s="27" t="s">
        <v>151</v>
      </c>
      <c r="AF16" s="28"/>
      <c r="AG16" s="28"/>
      <c r="AH16" s="28"/>
      <c r="AI16" s="28"/>
      <c r="AJ16" s="28"/>
      <c r="AK16" s="29"/>
      <c r="AN16" s="330" t="s">
        <v>152</v>
      </c>
      <c r="AO16" s="331"/>
      <c r="AP16" s="331"/>
      <c r="AQ16" s="331"/>
      <c r="AR16" s="331"/>
      <c r="AS16" s="331"/>
      <c r="AT16" s="331"/>
      <c r="AU16" s="331"/>
      <c r="AV16" s="331"/>
      <c r="AW16" s="331"/>
      <c r="AX16" s="331"/>
      <c r="AY16" s="331"/>
      <c r="AZ16" s="331"/>
      <c r="BA16" s="331"/>
      <c r="BB16" s="332"/>
    </row>
    <row r="17" spans="3:54" ht="30" customHeight="1">
      <c r="C17" s="112" t="s">
        <v>153</v>
      </c>
      <c r="D17" s="113" t="s">
        <v>154</v>
      </c>
      <c r="E17" s="347" t="s">
        <v>155</v>
      </c>
      <c r="F17" s="348"/>
      <c r="G17" s="349" t="s">
        <v>156</v>
      </c>
      <c r="H17" s="350"/>
      <c r="I17" s="351" t="s">
        <v>157</v>
      </c>
      <c r="J17" s="296"/>
      <c r="K17" s="343" t="s">
        <v>158</v>
      </c>
      <c r="L17" s="290" t="s">
        <v>159</v>
      </c>
      <c r="M17" s="290"/>
      <c r="N17" s="290"/>
      <c r="O17" s="114" t="s">
        <v>90</v>
      </c>
      <c r="V17" s="27" t="s">
        <v>159</v>
      </c>
      <c r="W17" s="28"/>
      <c r="X17" s="29"/>
      <c r="AG17" s="338" t="s">
        <v>160</v>
      </c>
      <c r="AH17" s="338"/>
      <c r="AI17" s="338"/>
      <c r="AJ17" s="338"/>
      <c r="AK17" s="338"/>
      <c r="AN17" s="339" t="s">
        <v>161</v>
      </c>
      <c r="AO17" s="340"/>
      <c r="AP17" s="340"/>
      <c r="AQ17" s="340"/>
      <c r="AR17" s="341"/>
      <c r="AS17" s="324" t="s">
        <v>162</v>
      </c>
      <c r="AT17" s="325"/>
      <c r="AU17" s="325"/>
      <c r="AV17" s="325"/>
      <c r="AW17" s="326"/>
      <c r="AX17" s="327" t="s">
        <v>157</v>
      </c>
      <c r="AY17" s="328"/>
      <c r="AZ17" s="328"/>
      <c r="BA17" s="328"/>
      <c r="BB17" s="329"/>
    </row>
    <row r="18" spans="3:54" ht="15" customHeight="1" thickBot="1">
      <c r="C18" s="115"/>
      <c r="D18" s="116"/>
      <c r="E18" s="117" t="s">
        <v>54</v>
      </c>
      <c r="F18" s="118" t="s">
        <v>55</v>
      </c>
      <c r="G18" s="118" t="s">
        <v>54</v>
      </c>
      <c r="H18" s="118" t="s">
        <v>55</v>
      </c>
      <c r="I18" s="118" t="s">
        <v>54</v>
      </c>
      <c r="J18" s="118" t="s">
        <v>55</v>
      </c>
      <c r="K18" s="344"/>
      <c r="L18" s="116" t="s">
        <v>4</v>
      </c>
      <c r="M18" s="116" t="s">
        <v>163</v>
      </c>
      <c r="N18" s="119" t="s">
        <v>164</v>
      </c>
      <c r="O18" s="120"/>
      <c r="V18" s="26" t="s">
        <v>165</v>
      </c>
      <c r="W18" s="26"/>
      <c r="X18" s="26" t="s">
        <v>166</v>
      </c>
      <c r="AG18" s="31" t="s">
        <v>167</v>
      </c>
      <c r="AH18" s="31" t="s">
        <v>168</v>
      </c>
      <c r="AI18" s="31" t="s">
        <v>169</v>
      </c>
      <c r="AJ18" s="31" t="s">
        <v>170</v>
      </c>
      <c r="AK18" s="31" t="s">
        <v>171</v>
      </c>
      <c r="AN18" s="32" t="s">
        <v>167</v>
      </c>
      <c r="AO18" s="33" t="s">
        <v>168</v>
      </c>
      <c r="AP18" s="33" t="s">
        <v>169</v>
      </c>
      <c r="AQ18" s="33" t="s">
        <v>170</v>
      </c>
      <c r="AR18" s="34" t="s">
        <v>171</v>
      </c>
      <c r="AS18" s="32" t="s">
        <v>167</v>
      </c>
      <c r="AT18" s="33" t="s">
        <v>168</v>
      </c>
      <c r="AU18" s="33" t="s">
        <v>169</v>
      </c>
      <c r="AV18" s="33" t="s">
        <v>170</v>
      </c>
      <c r="AW18" s="34" t="s">
        <v>171</v>
      </c>
      <c r="AX18" s="35" t="s">
        <v>167</v>
      </c>
      <c r="AY18" s="33" t="s">
        <v>168</v>
      </c>
      <c r="AZ18" s="33" t="s">
        <v>169</v>
      </c>
      <c r="BA18" s="33" t="s">
        <v>170</v>
      </c>
      <c r="BB18" s="34" t="s">
        <v>171</v>
      </c>
    </row>
    <row r="19" spans="3:54">
      <c r="C19" s="121" t="s">
        <v>172</v>
      </c>
      <c r="D19" s="122" t="s">
        <v>173</v>
      </c>
      <c r="E19" s="123"/>
      <c r="F19" s="123"/>
      <c r="G19" s="123"/>
      <c r="H19" s="123"/>
      <c r="I19" s="123"/>
      <c r="J19" s="123"/>
      <c r="K19" s="123"/>
      <c r="L19" s="107" t="str">
        <f t="shared" ref="L19:L24" si="0">IF(VLOOKUP(D19,$AK$133:$AO$151,AN$131,FALSE)=0,"",VLOOKUP(D19,$AK$133:$AO$151,AN$131,FALSE))</f>
        <v/>
      </c>
      <c r="M19" s="123"/>
      <c r="N19" s="124" t="str">
        <f t="shared" ref="N19:N24" si="1">IF(VLOOKUP(D19,$AK$133:$AO$151,AO$131,FALSE)=0,"",VLOOKUP(D19,$AK$133:$AO$151,AO$131,FALSE))</f>
        <v/>
      </c>
      <c r="O19" s="125"/>
      <c r="V19" s="26">
        <f t="shared" ref="V19:V27" si="2">IF(OR(D19=$AK$143,D19=$AK$144),1,0)</f>
        <v>0</v>
      </c>
      <c r="W19" s="26">
        <f t="shared" ref="W19:W27" si="3">IF(D19=$AK$133,0,1)</f>
        <v>0</v>
      </c>
      <c r="X19" s="26">
        <f t="shared" ref="X19:X27" si="4">IF(AND(N19&lt;&gt;"",N19&lt;&gt;$AS$137),1,0)</f>
        <v>0</v>
      </c>
      <c r="AE19" s="26" t="str">
        <f t="shared" ref="AE19:AE24" si="5">VLOOKUP(D19,$AK$133:$AX$151,$AW$131,FALSE)</f>
        <v>tom</v>
      </c>
      <c r="AF19" s="26" t="str">
        <f t="shared" ref="AF19:AF24" si="6">IF(OR(D19=$AK$143,D19=$AK$144),AE19&amp;", "&amp;K19,AE19)</f>
        <v>tom</v>
      </c>
      <c r="AG19" s="38">
        <f>VLOOKUP($AF19,Utslippsdata!$B$20:$H$46,Utslippsdata!C$16,FALSE)</f>
        <v>0</v>
      </c>
      <c r="AH19" s="38">
        <f>VLOOKUP($AF19,Utslippsdata!$B$20:$H$46,Utslippsdata!D$16,FALSE)</f>
        <v>0</v>
      </c>
      <c r="AI19" s="38">
        <f>VLOOKUP($AF19,Utslippsdata!$B$20:$H$46,Utslippsdata!E$16,FALSE)</f>
        <v>0</v>
      </c>
      <c r="AJ19" s="38">
        <f>VLOOKUP($AF19,Utslippsdata!$B$20:$H$46,Utslippsdata!F$16,FALSE)</f>
        <v>0</v>
      </c>
      <c r="AK19" s="38">
        <f>VLOOKUP($AF19,Utslippsdata!$B$20:$H$46,Utslippsdata!G$16,FALSE)</f>
        <v>0</v>
      </c>
      <c r="AM19" s="39" t="str">
        <f t="shared" ref="AM19:AM24" si="7">AE19</f>
        <v>tom</v>
      </c>
      <c r="AN19" s="40">
        <f t="shared" ref="AN19:AR24" si="8">$F19*AG19</f>
        <v>0</v>
      </c>
      <c r="AO19" s="40">
        <f t="shared" si="8"/>
        <v>0</v>
      </c>
      <c r="AP19" s="40">
        <f t="shared" si="8"/>
        <v>0</v>
      </c>
      <c r="AQ19" s="40">
        <f t="shared" si="8"/>
        <v>0</v>
      </c>
      <c r="AR19" s="41">
        <f t="shared" si="8"/>
        <v>0</v>
      </c>
      <c r="AS19" s="42">
        <f t="shared" ref="AS19:AW24" si="9">$H19*AG19</f>
        <v>0</v>
      </c>
      <c r="AT19" s="43">
        <f t="shared" si="9"/>
        <v>0</v>
      </c>
      <c r="AU19" s="43">
        <f t="shared" si="9"/>
        <v>0</v>
      </c>
      <c r="AV19" s="43">
        <f t="shared" si="9"/>
        <v>0</v>
      </c>
      <c r="AW19" s="44">
        <f t="shared" si="9"/>
        <v>0</v>
      </c>
      <c r="AX19" s="40">
        <f t="shared" ref="AX19:BB24" si="10">$J19*AG19</f>
        <v>0</v>
      </c>
      <c r="AY19" s="40">
        <f t="shared" si="10"/>
        <v>0</v>
      </c>
      <c r="AZ19" s="40">
        <f t="shared" si="10"/>
        <v>0</v>
      </c>
      <c r="BA19" s="40">
        <f t="shared" si="10"/>
        <v>0</v>
      </c>
      <c r="BB19" s="40">
        <f t="shared" si="10"/>
        <v>0</v>
      </c>
    </row>
    <row r="20" spans="3:54">
      <c r="C20" s="107" t="s">
        <v>174</v>
      </c>
      <c r="D20" s="108" t="s">
        <v>173</v>
      </c>
      <c r="E20" s="123"/>
      <c r="F20" s="123"/>
      <c r="G20" s="123"/>
      <c r="H20" s="123"/>
      <c r="I20" s="123"/>
      <c r="J20" s="123"/>
      <c r="K20" s="123"/>
      <c r="L20" s="107" t="str">
        <f t="shared" si="0"/>
        <v/>
      </c>
      <c r="M20" s="123"/>
      <c r="N20" s="124" t="str">
        <f t="shared" si="1"/>
        <v/>
      </c>
      <c r="O20" s="125"/>
      <c r="V20" s="26">
        <f t="shared" si="2"/>
        <v>0</v>
      </c>
      <c r="W20" s="26">
        <f t="shared" si="3"/>
        <v>0</v>
      </c>
      <c r="X20" s="26">
        <f t="shared" si="4"/>
        <v>0</v>
      </c>
      <c r="AE20" s="26" t="str">
        <f t="shared" si="5"/>
        <v>tom</v>
      </c>
      <c r="AF20" s="26" t="str">
        <f t="shared" si="6"/>
        <v>tom</v>
      </c>
      <c r="AG20" s="38">
        <f>VLOOKUP($AF20,Utslippsdata!$B$20:$H$46,Utslippsdata!C$16,FALSE)</f>
        <v>0</v>
      </c>
      <c r="AH20" s="38">
        <f>VLOOKUP($AF20,Utslippsdata!$B$20:$H$46,Utslippsdata!D$16,FALSE)</f>
        <v>0</v>
      </c>
      <c r="AI20" s="38">
        <f>VLOOKUP($AF20,Utslippsdata!$B$20:$H$46,Utslippsdata!E$16,FALSE)</f>
        <v>0</v>
      </c>
      <c r="AJ20" s="38">
        <f>VLOOKUP($AF20,Utslippsdata!$B$20:$H$46,Utslippsdata!F$16,FALSE)</f>
        <v>0</v>
      </c>
      <c r="AK20" s="38">
        <f>VLOOKUP($AF20,Utslippsdata!$B$20:$H$46,Utslippsdata!G$16,FALSE)</f>
        <v>0</v>
      </c>
      <c r="AM20" s="45" t="str">
        <f t="shared" si="7"/>
        <v>tom</v>
      </c>
      <c r="AN20" s="40">
        <f t="shared" si="8"/>
        <v>0</v>
      </c>
      <c r="AO20" s="40">
        <f t="shared" si="8"/>
        <v>0</v>
      </c>
      <c r="AP20" s="40">
        <f t="shared" si="8"/>
        <v>0</v>
      </c>
      <c r="AQ20" s="40">
        <f t="shared" si="8"/>
        <v>0</v>
      </c>
      <c r="AR20" s="41">
        <f t="shared" si="8"/>
        <v>0</v>
      </c>
      <c r="AS20" s="46">
        <f t="shared" si="9"/>
        <v>0</v>
      </c>
      <c r="AT20" s="40">
        <f t="shared" si="9"/>
        <v>0</v>
      </c>
      <c r="AU20" s="40">
        <f t="shared" si="9"/>
        <v>0</v>
      </c>
      <c r="AV20" s="40">
        <f t="shared" si="9"/>
        <v>0</v>
      </c>
      <c r="AW20" s="47">
        <f t="shared" si="9"/>
        <v>0</v>
      </c>
      <c r="AX20" s="40">
        <f t="shared" si="10"/>
        <v>0</v>
      </c>
      <c r="AY20" s="40">
        <f t="shared" si="10"/>
        <v>0</v>
      </c>
      <c r="AZ20" s="40">
        <f t="shared" si="10"/>
        <v>0</v>
      </c>
      <c r="BA20" s="40">
        <f t="shared" si="10"/>
        <v>0</v>
      </c>
      <c r="BB20" s="40">
        <f t="shared" si="10"/>
        <v>0</v>
      </c>
    </row>
    <row r="21" spans="3:54">
      <c r="C21" s="107" t="s">
        <v>175</v>
      </c>
      <c r="D21" s="108" t="s">
        <v>173</v>
      </c>
      <c r="E21" s="123"/>
      <c r="F21" s="123"/>
      <c r="G21" s="123"/>
      <c r="H21" s="123"/>
      <c r="I21" s="123"/>
      <c r="J21" s="123"/>
      <c r="K21" s="123"/>
      <c r="L21" s="107" t="str">
        <f t="shared" si="0"/>
        <v/>
      </c>
      <c r="M21" s="123"/>
      <c r="N21" s="124" t="str">
        <f t="shared" si="1"/>
        <v/>
      </c>
      <c r="O21" s="125"/>
      <c r="V21" s="26">
        <f t="shared" si="2"/>
        <v>0</v>
      </c>
      <c r="W21" s="26">
        <f t="shared" si="3"/>
        <v>0</v>
      </c>
      <c r="X21" s="26">
        <f t="shared" si="4"/>
        <v>0</v>
      </c>
      <c r="AE21" s="26" t="str">
        <f t="shared" si="5"/>
        <v>tom</v>
      </c>
      <c r="AF21" s="26" t="str">
        <f t="shared" si="6"/>
        <v>tom</v>
      </c>
      <c r="AG21" s="38">
        <f>VLOOKUP($AF21,Utslippsdata!$B$20:$H$46,Utslippsdata!C$16,FALSE)</f>
        <v>0</v>
      </c>
      <c r="AH21" s="38">
        <f>VLOOKUP($AF21,Utslippsdata!$B$20:$H$46,Utslippsdata!D$16,FALSE)</f>
        <v>0</v>
      </c>
      <c r="AI21" s="38">
        <f>VLOOKUP($AF21,Utslippsdata!$B$20:$H$46,Utslippsdata!E$16,FALSE)</f>
        <v>0</v>
      </c>
      <c r="AJ21" s="38">
        <f>VLOOKUP($AF21,Utslippsdata!$B$20:$H$46,Utslippsdata!F$16,FALSE)</f>
        <v>0</v>
      </c>
      <c r="AK21" s="38">
        <f>VLOOKUP($AF21,Utslippsdata!$B$20:$H$46,Utslippsdata!G$16,FALSE)</f>
        <v>0</v>
      </c>
      <c r="AM21" s="45" t="str">
        <f t="shared" si="7"/>
        <v>tom</v>
      </c>
      <c r="AN21" s="40">
        <f t="shared" si="8"/>
        <v>0</v>
      </c>
      <c r="AO21" s="40">
        <f t="shared" si="8"/>
        <v>0</v>
      </c>
      <c r="AP21" s="40">
        <f t="shared" si="8"/>
        <v>0</v>
      </c>
      <c r="AQ21" s="40">
        <f t="shared" si="8"/>
        <v>0</v>
      </c>
      <c r="AR21" s="41">
        <f t="shared" si="8"/>
        <v>0</v>
      </c>
      <c r="AS21" s="46">
        <f t="shared" si="9"/>
        <v>0</v>
      </c>
      <c r="AT21" s="40">
        <f t="shared" si="9"/>
        <v>0</v>
      </c>
      <c r="AU21" s="40">
        <f t="shared" si="9"/>
        <v>0</v>
      </c>
      <c r="AV21" s="40">
        <f t="shared" si="9"/>
        <v>0</v>
      </c>
      <c r="AW21" s="47">
        <f t="shared" si="9"/>
        <v>0</v>
      </c>
      <c r="AX21" s="40">
        <f t="shared" si="10"/>
        <v>0</v>
      </c>
      <c r="AY21" s="40">
        <f t="shared" si="10"/>
        <v>0</v>
      </c>
      <c r="AZ21" s="40">
        <f t="shared" si="10"/>
        <v>0</v>
      </c>
      <c r="BA21" s="40">
        <f t="shared" si="10"/>
        <v>0</v>
      </c>
      <c r="BB21" s="40">
        <f t="shared" si="10"/>
        <v>0</v>
      </c>
    </row>
    <row r="22" spans="3:54">
      <c r="C22" s="107" t="s">
        <v>176</v>
      </c>
      <c r="D22" s="108" t="s">
        <v>173</v>
      </c>
      <c r="E22" s="123"/>
      <c r="F22" s="123"/>
      <c r="G22" s="123"/>
      <c r="H22" s="123"/>
      <c r="I22" s="123"/>
      <c r="J22" s="123"/>
      <c r="K22" s="123"/>
      <c r="L22" s="107" t="str">
        <f t="shared" si="0"/>
        <v/>
      </c>
      <c r="M22" s="123"/>
      <c r="N22" s="124" t="str">
        <f t="shared" si="1"/>
        <v/>
      </c>
      <c r="O22" s="125"/>
      <c r="V22" s="26">
        <f t="shared" si="2"/>
        <v>0</v>
      </c>
      <c r="W22" s="26">
        <f t="shared" si="3"/>
        <v>0</v>
      </c>
      <c r="X22" s="26">
        <f t="shared" si="4"/>
        <v>0</v>
      </c>
      <c r="AE22" s="26" t="str">
        <f t="shared" si="5"/>
        <v>tom</v>
      </c>
      <c r="AF22" s="26" t="str">
        <f t="shared" si="6"/>
        <v>tom</v>
      </c>
      <c r="AG22" s="38">
        <f>VLOOKUP($AF22,Utslippsdata!$B$20:$H$46,Utslippsdata!C$16,FALSE)</f>
        <v>0</v>
      </c>
      <c r="AH22" s="38">
        <f>VLOOKUP($AF22,Utslippsdata!$B$20:$H$46,Utslippsdata!D$16,FALSE)</f>
        <v>0</v>
      </c>
      <c r="AI22" s="38">
        <f>VLOOKUP($AF22,Utslippsdata!$B$20:$H$46,Utslippsdata!E$16,FALSE)</f>
        <v>0</v>
      </c>
      <c r="AJ22" s="38">
        <f>VLOOKUP($AF22,Utslippsdata!$B$20:$H$46,Utslippsdata!F$16,FALSE)</f>
        <v>0</v>
      </c>
      <c r="AK22" s="38">
        <f>VLOOKUP($AF22,Utslippsdata!$B$20:$H$46,Utslippsdata!G$16,FALSE)</f>
        <v>0</v>
      </c>
      <c r="AM22" s="45" t="str">
        <f t="shared" si="7"/>
        <v>tom</v>
      </c>
      <c r="AN22" s="40">
        <f t="shared" si="8"/>
        <v>0</v>
      </c>
      <c r="AO22" s="40">
        <f t="shared" si="8"/>
        <v>0</v>
      </c>
      <c r="AP22" s="40">
        <f t="shared" si="8"/>
        <v>0</v>
      </c>
      <c r="AQ22" s="40">
        <f t="shared" si="8"/>
        <v>0</v>
      </c>
      <c r="AR22" s="41">
        <f t="shared" si="8"/>
        <v>0</v>
      </c>
      <c r="AS22" s="46">
        <f t="shared" si="9"/>
        <v>0</v>
      </c>
      <c r="AT22" s="40">
        <f t="shared" si="9"/>
        <v>0</v>
      </c>
      <c r="AU22" s="40">
        <f t="shared" si="9"/>
        <v>0</v>
      </c>
      <c r="AV22" s="40">
        <f t="shared" si="9"/>
        <v>0</v>
      </c>
      <c r="AW22" s="47">
        <f t="shared" si="9"/>
        <v>0</v>
      </c>
      <c r="AX22" s="40">
        <f t="shared" si="10"/>
        <v>0</v>
      </c>
      <c r="AY22" s="40">
        <f t="shared" si="10"/>
        <v>0</v>
      </c>
      <c r="AZ22" s="40">
        <f t="shared" si="10"/>
        <v>0</v>
      </c>
      <c r="BA22" s="40">
        <f t="shared" si="10"/>
        <v>0</v>
      </c>
      <c r="BB22" s="40">
        <f t="shared" si="10"/>
        <v>0</v>
      </c>
    </row>
    <row r="23" spans="3:54">
      <c r="C23" s="107" t="s">
        <v>177</v>
      </c>
      <c r="D23" s="108" t="s">
        <v>173</v>
      </c>
      <c r="E23" s="123"/>
      <c r="F23" s="123"/>
      <c r="G23" s="123"/>
      <c r="H23" s="123"/>
      <c r="I23" s="123"/>
      <c r="J23" s="123"/>
      <c r="K23" s="123"/>
      <c r="L23" s="107" t="str">
        <f t="shared" si="0"/>
        <v/>
      </c>
      <c r="M23" s="123"/>
      <c r="N23" s="124" t="str">
        <f t="shared" si="1"/>
        <v/>
      </c>
      <c r="O23" s="125"/>
      <c r="V23" s="26">
        <f t="shared" si="2"/>
        <v>0</v>
      </c>
      <c r="W23" s="26">
        <f t="shared" si="3"/>
        <v>0</v>
      </c>
      <c r="X23" s="26">
        <f t="shared" si="4"/>
        <v>0</v>
      </c>
      <c r="AE23" s="26" t="str">
        <f t="shared" si="5"/>
        <v>tom</v>
      </c>
      <c r="AF23" s="26" t="str">
        <f t="shared" si="6"/>
        <v>tom</v>
      </c>
      <c r="AG23" s="38">
        <f>VLOOKUP($AF23,Utslippsdata!$B$20:$H$46,Utslippsdata!C$16,FALSE)</f>
        <v>0</v>
      </c>
      <c r="AH23" s="38">
        <f>VLOOKUP($AF23,Utslippsdata!$B$20:$H$46,Utslippsdata!D$16,FALSE)</f>
        <v>0</v>
      </c>
      <c r="AI23" s="38">
        <f>VLOOKUP($AF23,Utslippsdata!$B$20:$H$46,Utslippsdata!E$16,FALSE)</f>
        <v>0</v>
      </c>
      <c r="AJ23" s="38">
        <f>VLOOKUP($AF23,Utslippsdata!$B$20:$H$46,Utslippsdata!F$16,FALSE)</f>
        <v>0</v>
      </c>
      <c r="AK23" s="38">
        <f>VLOOKUP($AF23,Utslippsdata!$B$20:$H$46,Utslippsdata!G$16,FALSE)</f>
        <v>0</v>
      </c>
      <c r="AM23" s="45" t="str">
        <f t="shared" si="7"/>
        <v>tom</v>
      </c>
      <c r="AN23" s="40">
        <f t="shared" si="8"/>
        <v>0</v>
      </c>
      <c r="AO23" s="40">
        <f t="shared" si="8"/>
        <v>0</v>
      </c>
      <c r="AP23" s="40">
        <f t="shared" si="8"/>
        <v>0</v>
      </c>
      <c r="AQ23" s="40">
        <f t="shared" si="8"/>
        <v>0</v>
      </c>
      <c r="AR23" s="41">
        <f t="shared" si="8"/>
        <v>0</v>
      </c>
      <c r="AS23" s="46">
        <f t="shared" si="9"/>
        <v>0</v>
      </c>
      <c r="AT23" s="40">
        <f t="shared" si="9"/>
        <v>0</v>
      </c>
      <c r="AU23" s="40">
        <f t="shared" si="9"/>
        <v>0</v>
      </c>
      <c r="AV23" s="40">
        <f t="shared" si="9"/>
        <v>0</v>
      </c>
      <c r="AW23" s="47">
        <f t="shared" si="9"/>
        <v>0</v>
      </c>
      <c r="AX23" s="40">
        <f t="shared" si="10"/>
        <v>0</v>
      </c>
      <c r="AY23" s="40">
        <f t="shared" si="10"/>
        <v>0</v>
      </c>
      <c r="AZ23" s="40">
        <f t="shared" si="10"/>
        <v>0</v>
      </c>
      <c r="BA23" s="40">
        <f t="shared" si="10"/>
        <v>0</v>
      </c>
      <c r="BB23" s="40">
        <f t="shared" si="10"/>
        <v>0</v>
      </c>
    </row>
    <row r="24" spans="3:54">
      <c r="C24" s="107" t="s">
        <v>178</v>
      </c>
      <c r="D24" s="108" t="s">
        <v>173</v>
      </c>
      <c r="E24" s="123"/>
      <c r="F24" s="123"/>
      <c r="G24" s="123"/>
      <c r="H24" s="123"/>
      <c r="I24" s="123"/>
      <c r="J24" s="123"/>
      <c r="K24" s="123"/>
      <c r="L24" s="107" t="str">
        <f t="shared" si="0"/>
        <v/>
      </c>
      <c r="M24" s="123"/>
      <c r="N24" s="124" t="str">
        <f t="shared" si="1"/>
        <v/>
      </c>
      <c r="O24" s="125"/>
      <c r="V24" s="26">
        <f t="shared" si="2"/>
        <v>0</v>
      </c>
      <c r="W24" s="26">
        <f t="shared" si="3"/>
        <v>0</v>
      </c>
      <c r="X24" s="26">
        <f t="shared" si="4"/>
        <v>0</v>
      </c>
      <c r="AE24" s="26" t="str">
        <f t="shared" si="5"/>
        <v>tom</v>
      </c>
      <c r="AF24" s="26" t="str">
        <f t="shared" si="6"/>
        <v>tom</v>
      </c>
      <c r="AG24" s="38">
        <f>VLOOKUP($AF24,Utslippsdata!$B$20:$H$46,Utslippsdata!C$16,FALSE)</f>
        <v>0</v>
      </c>
      <c r="AH24" s="38">
        <f>VLOOKUP($AF24,Utslippsdata!$B$20:$H$46,Utslippsdata!D$16,FALSE)</f>
        <v>0</v>
      </c>
      <c r="AI24" s="38">
        <f>VLOOKUP($AF24,Utslippsdata!$B$20:$H$46,Utslippsdata!E$16,FALSE)</f>
        <v>0</v>
      </c>
      <c r="AJ24" s="38">
        <f>VLOOKUP($AF24,Utslippsdata!$B$20:$H$46,Utslippsdata!F$16,FALSE)</f>
        <v>0</v>
      </c>
      <c r="AK24" s="38">
        <f>VLOOKUP($AF24,Utslippsdata!$B$20:$H$46,Utslippsdata!G$16,FALSE)</f>
        <v>0</v>
      </c>
      <c r="AM24" s="45" t="str">
        <f t="shared" si="7"/>
        <v>tom</v>
      </c>
      <c r="AN24" s="40">
        <f t="shared" si="8"/>
        <v>0</v>
      </c>
      <c r="AO24" s="40">
        <f t="shared" si="8"/>
        <v>0</v>
      </c>
      <c r="AP24" s="40">
        <f t="shared" si="8"/>
        <v>0</v>
      </c>
      <c r="AQ24" s="40">
        <f t="shared" si="8"/>
        <v>0</v>
      </c>
      <c r="AR24" s="41">
        <f t="shared" si="8"/>
        <v>0</v>
      </c>
      <c r="AS24" s="46">
        <f t="shared" si="9"/>
        <v>0</v>
      </c>
      <c r="AT24" s="40">
        <f t="shared" si="9"/>
        <v>0</v>
      </c>
      <c r="AU24" s="40">
        <f t="shared" si="9"/>
        <v>0</v>
      </c>
      <c r="AV24" s="40">
        <f t="shared" si="9"/>
        <v>0</v>
      </c>
      <c r="AW24" s="47">
        <f t="shared" si="9"/>
        <v>0</v>
      </c>
      <c r="AX24" s="40">
        <f t="shared" si="10"/>
        <v>0</v>
      </c>
      <c r="AY24" s="40">
        <f t="shared" si="10"/>
        <v>0</v>
      </c>
      <c r="AZ24" s="40">
        <f t="shared" si="10"/>
        <v>0</v>
      </c>
      <c r="BA24" s="40">
        <f t="shared" si="10"/>
        <v>0</v>
      </c>
      <c r="BB24" s="40">
        <f t="shared" si="10"/>
        <v>0</v>
      </c>
    </row>
    <row r="25" spans="3:54" ht="14.4" thickBot="1">
      <c r="C25" s="107" t="s">
        <v>179</v>
      </c>
      <c r="D25" s="107" t="s">
        <v>180</v>
      </c>
      <c r="E25" s="335"/>
      <c r="F25" s="335"/>
      <c r="G25" s="336"/>
      <c r="H25" s="337"/>
      <c r="I25" s="345"/>
      <c r="J25" s="346"/>
      <c r="K25" s="126"/>
      <c r="L25" s="127"/>
      <c r="M25" s="127"/>
      <c r="N25" s="128"/>
      <c r="O25" s="125"/>
      <c r="P25" s="48"/>
      <c r="Q25" s="48"/>
      <c r="T25" s="48"/>
      <c r="U25" s="48"/>
      <c r="V25" s="26">
        <f t="shared" si="2"/>
        <v>0</v>
      </c>
      <c r="W25" s="26">
        <f t="shared" si="3"/>
        <v>1</v>
      </c>
      <c r="X25" s="26">
        <f t="shared" si="4"/>
        <v>0</v>
      </c>
      <c r="AM25" s="49" t="s">
        <v>179</v>
      </c>
      <c r="AN25" s="50">
        <f>$E$25*$E$26*(Utslippsdata!C54+Utslippsdata!C55)+$E$26*Utslippsdata!C56</f>
        <v>0</v>
      </c>
      <c r="AO25" s="51">
        <f>$E$25*$E$26*(Utslippsdata!D54+Utslippsdata!D55)+$E$26*Utslippsdata!D56</f>
        <v>0</v>
      </c>
      <c r="AP25" s="51">
        <f>$E$25*$E$26*(Utslippsdata!E54+Utslippsdata!E55)+$E$26*Utslippsdata!E56</f>
        <v>0</v>
      </c>
      <c r="AQ25" s="51">
        <f>$E$25*$E$26*(Utslippsdata!F54+Utslippsdata!F55)+$E$26*Utslippsdata!F56</f>
        <v>0</v>
      </c>
      <c r="AR25" s="52">
        <f>$E$25*$E$26*(Utslippsdata!G54+Utslippsdata!G55)+$E$26*Utslippsdata!G56</f>
        <v>0</v>
      </c>
      <c r="AS25" s="53">
        <f>$G$25*$G$26*(Utslippsdata!C54+Utslippsdata!C55)+$G$26*Utslippsdata!C56</f>
        <v>0</v>
      </c>
      <c r="AT25" s="51">
        <f>$G$25*$G$26*(Utslippsdata!D54+Utslippsdata!D55)+$G$26*Utslippsdata!D56</f>
        <v>0</v>
      </c>
      <c r="AU25" s="51">
        <f>$G$25*$G$26*(Utslippsdata!E54+Utslippsdata!E55)+$G$26*Utslippsdata!E56</f>
        <v>0</v>
      </c>
      <c r="AV25" s="51">
        <f>$G$25*$G$26*(Utslippsdata!F54+Utslippsdata!F55)+$G$26*Utslippsdata!F56</f>
        <v>0</v>
      </c>
      <c r="AW25" s="54">
        <f>$G$25*$G$26*(Utslippsdata!G54+Utslippsdata!G55)+$G$26*Utslippsdata!G56</f>
        <v>0</v>
      </c>
      <c r="AX25" s="55"/>
      <c r="AY25" s="56"/>
      <c r="AZ25" s="56"/>
      <c r="BA25" s="56"/>
      <c r="BB25" s="57"/>
    </row>
    <row r="26" spans="3:54" ht="14.1" thickBot="1">
      <c r="C26" s="107" t="s">
        <v>181</v>
      </c>
      <c r="D26" s="107" t="s">
        <v>182</v>
      </c>
      <c r="E26" s="335"/>
      <c r="F26" s="335"/>
      <c r="G26" s="336"/>
      <c r="H26" s="337"/>
      <c r="I26" s="129"/>
      <c r="J26" s="130"/>
      <c r="K26" s="131"/>
      <c r="L26" s="109"/>
      <c r="M26" s="109"/>
      <c r="N26" s="132"/>
      <c r="O26" s="125"/>
      <c r="P26" s="48"/>
      <c r="Q26" s="48"/>
      <c r="T26" s="48"/>
      <c r="U26" s="48"/>
      <c r="V26" s="26">
        <f t="shared" si="2"/>
        <v>0</v>
      </c>
      <c r="W26" s="26">
        <f t="shared" si="3"/>
        <v>1</v>
      </c>
      <c r="X26" s="26">
        <f t="shared" si="4"/>
        <v>0</v>
      </c>
      <c r="AM26" s="59" t="s">
        <v>183</v>
      </c>
      <c r="AN26" s="60">
        <f t="shared" ref="AN26:BB26" si="11">SUM(AN19:AN25)</f>
        <v>0</v>
      </c>
      <c r="AO26" s="61">
        <f t="shared" si="11"/>
        <v>0</v>
      </c>
      <c r="AP26" s="61">
        <f t="shared" si="11"/>
        <v>0</v>
      </c>
      <c r="AQ26" s="61">
        <f t="shared" si="11"/>
        <v>0</v>
      </c>
      <c r="AR26" s="62">
        <f t="shared" si="11"/>
        <v>0</v>
      </c>
      <c r="AS26" s="60">
        <f t="shared" si="11"/>
        <v>0</v>
      </c>
      <c r="AT26" s="61">
        <f t="shared" si="11"/>
        <v>0</v>
      </c>
      <c r="AU26" s="61">
        <f t="shared" si="11"/>
        <v>0</v>
      </c>
      <c r="AV26" s="61">
        <f t="shared" si="11"/>
        <v>0</v>
      </c>
      <c r="AW26" s="62">
        <f t="shared" si="11"/>
        <v>0</v>
      </c>
      <c r="AX26" s="60">
        <f t="shared" si="11"/>
        <v>0</v>
      </c>
      <c r="AY26" s="61">
        <f t="shared" si="11"/>
        <v>0</v>
      </c>
      <c r="AZ26" s="61">
        <f t="shared" si="11"/>
        <v>0</v>
      </c>
      <c r="BA26" s="61">
        <f t="shared" si="11"/>
        <v>0</v>
      </c>
      <c r="BB26" s="62">
        <f t="shared" si="11"/>
        <v>0</v>
      </c>
    </row>
    <row r="27" spans="3:54">
      <c r="C27" s="124" t="s">
        <v>184</v>
      </c>
      <c r="D27" s="133"/>
      <c r="E27" s="400"/>
      <c r="F27" s="401"/>
      <c r="G27" s="336"/>
      <c r="H27" s="337"/>
      <c r="I27" s="336"/>
      <c r="J27" s="337"/>
      <c r="K27" s="134"/>
      <c r="L27" s="135"/>
      <c r="M27" s="135"/>
      <c r="N27" s="136"/>
      <c r="O27" s="125"/>
      <c r="V27" s="26">
        <f t="shared" si="2"/>
        <v>0</v>
      </c>
      <c r="W27" s="26">
        <f t="shared" si="3"/>
        <v>1</v>
      </c>
      <c r="X27" s="26">
        <f t="shared" si="4"/>
        <v>0</v>
      </c>
    </row>
    <row r="28" spans="3:54">
      <c r="C28" s="109"/>
      <c r="D28" s="109"/>
      <c r="E28" s="109"/>
      <c r="F28" s="109"/>
      <c r="G28" s="109"/>
      <c r="H28" s="109"/>
      <c r="I28" s="109"/>
      <c r="J28" s="109"/>
      <c r="K28" s="109"/>
      <c r="L28" s="109"/>
      <c r="M28" s="109"/>
      <c r="N28" s="109"/>
      <c r="O28" s="109"/>
      <c r="AM28" s="26" t="s">
        <v>185</v>
      </c>
      <c r="AN28" s="26"/>
      <c r="AO28" s="26"/>
      <c r="AP28" s="26"/>
      <c r="AQ28" s="26"/>
      <c r="AR28" s="26"/>
      <c r="AS28" s="26"/>
      <c r="AT28" s="26"/>
      <c r="AU28" s="26"/>
      <c r="AV28" s="26"/>
      <c r="AW28" s="26"/>
      <c r="AX28" s="26">
        <f ca="1">YEAR(TODAY())</f>
        <v>2024</v>
      </c>
      <c r="AY28" s="63">
        <f>DATE('Generelt om prosjektet'!C26,1,1)</f>
        <v>45658</v>
      </c>
      <c r="AZ28" s="26">
        <f>YEAR(AY28)</f>
        <v>2025</v>
      </c>
      <c r="BA28" s="26"/>
    </row>
    <row r="29" spans="3:54">
      <c r="C29" s="118" t="s">
        <v>186</v>
      </c>
      <c r="D29" s="118"/>
      <c r="E29" s="118" t="s">
        <v>187</v>
      </c>
      <c r="F29" s="118" t="s">
        <v>164</v>
      </c>
      <c r="G29" s="137" t="s">
        <v>90</v>
      </c>
      <c r="H29" s="138"/>
      <c r="I29" s="138"/>
      <c r="J29" s="117"/>
      <c r="K29" s="109"/>
      <c r="L29" s="109"/>
      <c r="M29" s="109"/>
      <c r="N29" s="109"/>
      <c r="O29" s="109"/>
      <c r="U29" s="25" t="s">
        <v>188</v>
      </c>
      <c r="V29" s="26">
        <f>SUM(E19:F22)</f>
        <v>0</v>
      </c>
      <c r="W29" s="26">
        <f>SUM(G19:H22)</f>
        <v>0</v>
      </c>
      <c r="X29" s="26">
        <f>SUM(I19:J22)</f>
        <v>0</v>
      </c>
      <c r="AM29" s="26" t="s">
        <v>189</v>
      </c>
      <c r="AN29" s="26"/>
      <c r="AO29" s="26"/>
      <c r="AP29" s="26"/>
      <c r="AQ29" s="26"/>
      <c r="AR29" s="26"/>
      <c r="AS29" s="26"/>
      <c r="AT29" s="26"/>
      <c r="AU29" s="26"/>
      <c r="AV29" s="26"/>
      <c r="AW29" s="26"/>
      <c r="AX29" s="26">
        <f ca="1">IF(AZ28&gt;AX28,AZ28,AX28)</f>
        <v>2025</v>
      </c>
      <c r="AY29" s="26"/>
      <c r="AZ29" s="26"/>
      <c r="BA29" s="26"/>
    </row>
    <row r="30" spans="3:54">
      <c r="C30" s="111" t="s">
        <v>190</v>
      </c>
      <c r="D30" s="154" t="s">
        <v>191</v>
      </c>
      <c r="E30" s="270">
        <v>1.95</v>
      </c>
      <c r="F30" s="111" t="s">
        <v>192</v>
      </c>
      <c r="G30" s="397"/>
      <c r="H30" s="398"/>
      <c r="I30" s="398"/>
      <c r="J30" s="399"/>
      <c r="U30" s="25" t="s">
        <v>193</v>
      </c>
      <c r="V30" s="26">
        <f>SUM(E23:H24)</f>
        <v>0</v>
      </c>
      <c r="W30" s="26"/>
      <c r="X30" s="26"/>
      <c r="AM30" s="26" t="s">
        <v>194</v>
      </c>
      <c r="AN30" s="26"/>
      <c r="AO30" s="26"/>
      <c r="AP30" s="26"/>
      <c r="AQ30" s="26"/>
      <c r="AR30" s="26"/>
      <c r="AS30" s="26"/>
      <c r="AT30" s="26"/>
      <c r="AU30" s="26"/>
      <c r="AV30" s="26"/>
      <c r="AW30" s="26"/>
      <c r="AX30" s="63">
        <f>DATE(I27,1,1)</f>
        <v>1</v>
      </c>
      <c r="AY30" s="26"/>
      <c r="AZ30" s="26">
        <f>IF(I27="",0,YEAR(AX30))</f>
        <v>0</v>
      </c>
      <c r="BA30" s="26"/>
    </row>
    <row r="31" spans="3:54">
      <c r="C31" s="109"/>
      <c r="D31" s="109"/>
      <c r="E31" s="109"/>
      <c r="F31" s="109"/>
      <c r="G31" s="378"/>
      <c r="H31" s="378"/>
      <c r="I31" s="378"/>
      <c r="J31" s="378"/>
      <c r="AM31" s="26" t="s">
        <v>195</v>
      </c>
      <c r="AN31" s="26"/>
      <c r="AO31" s="26"/>
      <c r="AP31" s="26"/>
      <c r="AQ31" s="26"/>
      <c r="AR31" s="26"/>
      <c r="AS31" s="26"/>
      <c r="AT31" s="26"/>
      <c r="AU31" s="26"/>
      <c r="AV31" s="26"/>
      <c r="AW31" s="26"/>
      <c r="AX31" s="26">
        <f ca="1">AX29-AZ30</f>
        <v>2025</v>
      </c>
      <c r="AY31" s="26" t="s">
        <v>196</v>
      </c>
      <c r="AZ31" s="26">
        <f>'Generelt om prosjektet'!C24</f>
        <v>50</v>
      </c>
      <c r="BA31" s="26" t="s">
        <v>196</v>
      </c>
    </row>
    <row r="32" spans="3:54">
      <c r="C32" s="109"/>
      <c r="D32" s="109"/>
      <c r="E32" s="109"/>
      <c r="F32" s="109"/>
      <c r="G32" s="378"/>
      <c r="H32" s="378"/>
      <c r="I32" s="378"/>
      <c r="J32" s="378"/>
      <c r="AM32" s="26" t="s">
        <v>197</v>
      </c>
      <c r="AN32" s="26"/>
      <c r="AO32" s="26"/>
      <c r="AP32" s="26"/>
      <c r="AQ32" s="26"/>
      <c r="AR32" s="26"/>
      <c r="AS32" s="26"/>
      <c r="AT32" s="26"/>
      <c r="AU32" s="26"/>
      <c r="AV32" s="26"/>
      <c r="AW32" s="26"/>
      <c r="AX32" s="26">
        <f ca="1">'Generelt om prosjektet'!C24-AX31</f>
        <v>-1975</v>
      </c>
      <c r="AY32" s="26" t="s">
        <v>196</v>
      </c>
      <c r="AZ32" s="26"/>
      <c r="BA32" s="26"/>
    </row>
    <row r="33" spans="3:53" ht="14.1" thickBot="1">
      <c r="C33" s="139" t="s">
        <v>198</v>
      </c>
      <c r="D33" s="118" t="s">
        <v>4</v>
      </c>
      <c r="E33" s="118" t="s">
        <v>199</v>
      </c>
      <c r="F33" s="118" t="s">
        <v>164</v>
      </c>
      <c r="G33" s="137" t="s">
        <v>90</v>
      </c>
      <c r="H33" s="138"/>
      <c r="I33" s="138"/>
      <c r="J33" s="117"/>
      <c r="AE33" s="27" t="s">
        <v>200</v>
      </c>
      <c r="AF33" s="28"/>
      <c r="AG33" s="29"/>
      <c r="AM33" s="26" t="s">
        <v>201</v>
      </c>
      <c r="AX33" s="64">
        <f ca="1">IF($AX$31&lt;$AZ$31,AX26/$AZ$31*$AX$32,0)</f>
        <v>0</v>
      </c>
      <c r="AY33" s="64">
        <f ca="1">IF($AX$31&lt;$AZ$31,AY26/$AZ$31*$AX$32,0)</f>
        <v>0</v>
      </c>
      <c r="AZ33" s="64">
        <f ca="1">IF($AX$31&lt;$AZ$31,AZ26/$AZ$31*$AX$32,0)</f>
        <v>0</v>
      </c>
      <c r="BA33" s="64">
        <f ca="1">IF($AX$31&lt;$AZ$31,BA26/$AZ$31*$AX$32,0)</f>
        <v>0</v>
      </c>
    </row>
    <row r="34" spans="3:53">
      <c r="C34" s="107" t="s">
        <v>202</v>
      </c>
      <c r="D34" s="107" t="s">
        <v>203</v>
      </c>
      <c r="E34" s="140"/>
      <c r="F34" s="107" t="s">
        <v>204</v>
      </c>
      <c r="G34" s="355"/>
      <c r="H34" s="355"/>
      <c r="I34" s="355"/>
      <c r="J34" s="355"/>
      <c r="AE34" s="26"/>
      <c r="AF34" s="26"/>
      <c r="AG34" s="26"/>
      <c r="AI34" s="26" t="s">
        <v>205</v>
      </c>
      <c r="AJ34" s="26">
        <f t="shared" ref="AJ34:AJ43" ca="1" si="12">SUMIF($L$19:$M$24,AI34,$M$19:$M$24)</f>
        <v>0</v>
      </c>
      <c r="AK34" s="25" t="s">
        <v>206</v>
      </c>
    </row>
    <row r="35" spans="3:53">
      <c r="C35" s="107" t="s">
        <v>207</v>
      </c>
      <c r="D35" s="107" t="s">
        <v>208</v>
      </c>
      <c r="E35" s="140"/>
      <c r="F35" s="107" t="s">
        <v>204</v>
      </c>
      <c r="G35" s="355"/>
      <c r="H35" s="355"/>
      <c r="I35" s="355"/>
      <c r="J35" s="355"/>
      <c r="AE35" s="26" t="s">
        <v>185</v>
      </c>
      <c r="AF35" s="26">
        <f>'Generelt om prosjektet'!C24</f>
        <v>50</v>
      </c>
      <c r="AG35" s="26"/>
      <c r="AI35" s="26" t="s">
        <v>209</v>
      </c>
      <c r="AJ35" s="26">
        <f t="shared" ca="1" si="12"/>
        <v>0</v>
      </c>
      <c r="AM35" s="27" t="s">
        <v>210</v>
      </c>
      <c r="AN35" s="28"/>
      <c r="AO35" s="28"/>
      <c r="AP35" s="28"/>
      <c r="AQ35" s="28"/>
      <c r="AR35" s="28"/>
      <c r="AS35" s="28"/>
      <c r="AT35" s="29"/>
    </row>
    <row r="36" spans="3:53">
      <c r="C36" s="107" t="s">
        <v>211</v>
      </c>
      <c r="D36" s="170"/>
      <c r="E36" s="156"/>
      <c r="F36" s="107" t="s">
        <v>204</v>
      </c>
      <c r="G36" s="355"/>
      <c r="H36" s="355"/>
      <c r="I36" s="355"/>
      <c r="J36" s="355"/>
      <c r="AE36" s="26" t="str">
        <f>C34</f>
        <v>Beregnet levert strøm</v>
      </c>
      <c r="AF36" s="38">
        <f>E34*Utslippsdata!C76*$AF$35/1000</f>
        <v>0</v>
      </c>
      <c r="AG36" s="26" t="s">
        <v>212</v>
      </c>
      <c r="AI36" s="26" t="s">
        <v>213</v>
      </c>
      <c r="AJ36" s="26">
        <f t="shared" ca="1" si="12"/>
        <v>0</v>
      </c>
      <c r="AK36" s="25" t="s">
        <v>214</v>
      </c>
      <c r="AM36" s="25">
        <f>'Generelt om prosjektet'!C24</f>
        <v>50</v>
      </c>
      <c r="AN36" s="25" t="s">
        <v>196</v>
      </c>
      <c r="AO36" s="333" t="s">
        <v>215</v>
      </c>
      <c r="AP36" s="333"/>
      <c r="AQ36" s="333"/>
      <c r="AR36" s="333"/>
      <c r="AS36" s="333"/>
      <c r="AT36" s="333"/>
    </row>
    <row r="37" spans="3:53" ht="14.1">
      <c r="C37" s="107" t="s">
        <v>216</v>
      </c>
      <c r="D37" s="107" t="s">
        <v>217</v>
      </c>
      <c r="E37" s="171"/>
      <c r="F37" s="107" t="s">
        <v>218</v>
      </c>
      <c r="G37" s="355"/>
      <c r="H37" s="355"/>
      <c r="I37" s="355"/>
      <c r="J37" s="355"/>
      <c r="AE37" s="26" t="str">
        <f>C35</f>
        <v>Beregnet levert fjernvarme</v>
      </c>
      <c r="AF37" s="38">
        <f>E35*Utslippsdata!C81*$AF$35/1000</f>
        <v>0</v>
      </c>
      <c r="AG37" s="26" t="s">
        <v>212</v>
      </c>
      <c r="AI37" s="26" t="s">
        <v>219</v>
      </c>
      <c r="AJ37" s="26">
        <f t="shared" ca="1" si="12"/>
        <v>0</v>
      </c>
      <c r="AM37" s="65"/>
      <c r="AN37" s="65" t="s">
        <v>220</v>
      </c>
      <c r="AO37" s="66" t="s">
        <v>221</v>
      </c>
      <c r="AP37" s="66" t="s">
        <v>222</v>
      </c>
      <c r="AQ37" s="66" t="s">
        <v>223</v>
      </c>
      <c r="AR37" s="66" t="s">
        <v>224</v>
      </c>
      <c r="AS37" s="66" t="s">
        <v>225</v>
      </c>
      <c r="AT37" s="66" t="s">
        <v>226</v>
      </c>
      <c r="AW37" s="67"/>
    </row>
    <row r="38" spans="3:53" ht="14.1" thickBot="1">
      <c r="C38" s="107" t="s">
        <v>227</v>
      </c>
      <c r="D38" s="107" t="s">
        <v>227</v>
      </c>
      <c r="E38" s="140"/>
      <c r="F38" s="107" t="s">
        <v>228</v>
      </c>
      <c r="G38" s="355"/>
      <c r="H38" s="355"/>
      <c r="I38" s="355"/>
      <c r="J38" s="355"/>
      <c r="V38" s="27" t="s">
        <v>229</v>
      </c>
      <c r="W38" s="28"/>
      <c r="X38" s="28"/>
      <c r="Y38" s="29"/>
      <c r="AE38" s="26" t="str">
        <f>C36</f>
        <v>Annen kilde, spesifiser</v>
      </c>
      <c r="AF38" s="38">
        <f>E36*E37*$AF$35/1000</f>
        <v>0</v>
      </c>
      <c r="AG38" s="26" t="s">
        <v>212</v>
      </c>
      <c r="AI38" s="26" t="s">
        <v>230</v>
      </c>
      <c r="AJ38" s="26">
        <f t="shared" ca="1" si="12"/>
        <v>0</v>
      </c>
      <c r="AK38" s="25" t="s">
        <v>231</v>
      </c>
      <c r="AM38" s="9" t="s">
        <v>232</v>
      </c>
      <c r="AN38" s="9">
        <f t="shared" ref="AN38:AN48" si="13">SUMIF($D$19:$D$24,AM38,$E$19:$E$24)+SUMIF($D$19:$D$24,AM38,$G$19:$G$24)</f>
        <v>0</v>
      </c>
      <c r="AO38" s="14">
        <f>IFERROR(Utslippsdata!C114+800/AN38,0)*AN38</f>
        <v>0</v>
      </c>
      <c r="AP38" s="14">
        <f>IFERROR(120+1600/AN38,0)*AN38</f>
        <v>0</v>
      </c>
      <c r="AQ38" s="14">
        <f>IFERROR(145+2500/AN38,0)*AN38</f>
        <v>0</v>
      </c>
      <c r="AR38" s="14">
        <f>IFERROR(175+4100/AN38,0)*AN38</f>
        <v>0</v>
      </c>
      <c r="AS38" s="14">
        <f>IFERROR(205+5800/AN38,0)*AN38</f>
        <v>0</v>
      </c>
      <c r="AT38" s="14">
        <f>IFERROR(250+8000/AN38,0)*AN38</f>
        <v>0</v>
      </c>
    </row>
    <row r="39" spans="3:53">
      <c r="C39" s="107" t="s">
        <v>233</v>
      </c>
      <c r="D39" s="107" t="s">
        <v>234</v>
      </c>
      <c r="E39" s="140"/>
      <c r="F39" s="107" t="s">
        <v>204</v>
      </c>
      <c r="G39" s="355"/>
      <c r="H39" s="355"/>
      <c r="I39" s="355"/>
      <c r="J39" s="355"/>
      <c r="V39" s="26" t="s">
        <v>235</v>
      </c>
      <c r="W39" s="26"/>
      <c r="X39" s="26"/>
      <c r="Y39" s="26" t="s">
        <v>236</v>
      </c>
      <c r="Z39" s="68"/>
      <c r="AA39" s="69" t="s">
        <v>97</v>
      </c>
      <c r="AB39" s="48"/>
      <c r="AE39" s="26" t="str">
        <f>C39</f>
        <v>Levert strøm fra solceller</v>
      </c>
      <c r="AF39" s="38">
        <f>E39*Utslippsdata!C76*$AF$35/1000</f>
        <v>0</v>
      </c>
      <c r="AG39" s="26" t="s">
        <v>212</v>
      </c>
      <c r="AI39" s="26" t="s">
        <v>237</v>
      </c>
      <c r="AJ39" s="26">
        <f t="shared" ca="1" si="12"/>
        <v>0</v>
      </c>
      <c r="AK39" s="25" t="s">
        <v>238</v>
      </c>
      <c r="AM39" s="9" t="s">
        <v>239</v>
      </c>
      <c r="AN39" s="9">
        <f t="shared" si="13"/>
        <v>0</v>
      </c>
      <c r="AO39" s="14">
        <f>IFERROR(85+600/AN39,0)*AN39</f>
        <v>0</v>
      </c>
      <c r="AP39" s="14">
        <f>IFERROR(95+1000/AN39,0)*AN39</f>
        <v>0</v>
      </c>
      <c r="AQ39" s="14">
        <f>IFERROR(110+1500/AN39,0)*AN39</f>
        <v>0</v>
      </c>
      <c r="AR39" s="14">
        <f>IFERROR(135+2200/AN39,0)*AN39</f>
        <v>0</v>
      </c>
      <c r="AS39" s="14">
        <f>IFERROR(160+3000/AN39,0)*AN39</f>
        <v>0</v>
      </c>
      <c r="AT39" s="14">
        <f>IFERROR(200+4000/AN39,0)*AN39</f>
        <v>0</v>
      </c>
    </row>
    <row r="40" spans="3:53">
      <c r="C40" s="109"/>
      <c r="D40" s="109"/>
      <c r="E40" s="109"/>
      <c r="F40" s="109"/>
      <c r="G40" s="109"/>
      <c r="H40" s="109"/>
      <c r="I40" s="109"/>
      <c r="J40" s="109"/>
      <c r="V40" s="26">
        <f>IF(OR(D19=AK135,D20=AK135,D21=AK135,D22=AK135),1,0)</f>
        <v>0</v>
      </c>
      <c r="W40" s="26"/>
      <c r="X40" s="26">
        <v>1.95</v>
      </c>
      <c r="Y40" s="26">
        <f>IF(E30="",X40,E30)</f>
        <v>1.95</v>
      </c>
      <c r="AA40" s="45" t="s">
        <v>240</v>
      </c>
      <c r="AE40" s="26" t="s">
        <v>241</v>
      </c>
      <c r="AF40" s="38">
        <f>E38*(Utslippsdata!B107+Utslippsdata!C107+Utslippsdata!D107+Utslippsdata!E107+Utslippsdata!F107)/1000</f>
        <v>0</v>
      </c>
      <c r="AG40" s="26" t="s">
        <v>212</v>
      </c>
      <c r="AI40" s="26" t="s">
        <v>242</v>
      </c>
      <c r="AJ40" s="26">
        <f t="shared" ca="1" si="12"/>
        <v>0</v>
      </c>
      <c r="AK40" s="25" t="s">
        <v>243</v>
      </c>
      <c r="AM40" s="9" t="s">
        <v>244</v>
      </c>
      <c r="AN40" s="9">
        <f t="shared" si="13"/>
        <v>0</v>
      </c>
      <c r="AO40" s="70">
        <f>$AN40*Utslippsdata!C118</f>
        <v>0</v>
      </c>
      <c r="AP40" s="70">
        <f>$AN40*Utslippsdata!D118</f>
        <v>0</v>
      </c>
      <c r="AQ40" s="70">
        <f>$AN40*Utslippsdata!E118</f>
        <v>0</v>
      </c>
      <c r="AR40" s="70">
        <f>$AN40*Utslippsdata!F118</f>
        <v>0</v>
      </c>
      <c r="AS40" s="70">
        <f>$AN40*Utslippsdata!G118</f>
        <v>0</v>
      </c>
      <c r="AT40" s="70">
        <f>$AN40*Utslippsdata!H118</f>
        <v>0</v>
      </c>
    </row>
    <row r="41" spans="3:53">
      <c r="C41" s="107" t="s">
        <v>245</v>
      </c>
      <c r="D41" s="108" t="s">
        <v>240</v>
      </c>
      <c r="E41" s="109"/>
      <c r="F41" s="109"/>
      <c r="G41" s="109"/>
      <c r="H41" s="109"/>
      <c r="I41" s="109"/>
      <c r="J41" s="109"/>
      <c r="AA41" s="45" t="s">
        <v>246</v>
      </c>
      <c r="AI41" s="26" t="s">
        <v>247</v>
      </c>
      <c r="AJ41" s="26">
        <f t="shared" ca="1" si="12"/>
        <v>0</v>
      </c>
      <c r="AK41" s="25" t="s">
        <v>248</v>
      </c>
      <c r="AM41" s="9" t="s">
        <v>249</v>
      </c>
      <c r="AN41" s="9">
        <f t="shared" si="13"/>
        <v>0</v>
      </c>
      <c r="AO41" s="70">
        <f>$AN41*Utslippsdata!C119</f>
        <v>0</v>
      </c>
      <c r="AP41" s="70">
        <f>$AN41*Utslippsdata!D119</f>
        <v>0</v>
      </c>
      <c r="AQ41" s="70">
        <f>$AN41*Utslippsdata!E119</f>
        <v>0</v>
      </c>
      <c r="AR41" s="70">
        <f>$AN41*Utslippsdata!F119</f>
        <v>0</v>
      </c>
      <c r="AS41" s="70">
        <f>$AN41*Utslippsdata!G119</f>
        <v>0</v>
      </c>
      <c r="AT41" s="70">
        <f>$AN41*Utslippsdata!H119</f>
        <v>0</v>
      </c>
    </row>
    <row r="42" spans="3:53">
      <c r="C42" s="109"/>
      <c r="D42" s="109"/>
      <c r="E42" s="109"/>
      <c r="F42" s="109"/>
      <c r="G42" s="109"/>
      <c r="H42" s="109"/>
      <c r="I42" s="109"/>
      <c r="J42" s="109"/>
      <c r="AA42" s="45" t="s">
        <v>98</v>
      </c>
      <c r="AE42" s="71" t="s">
        <v>250</v>
      </c>
      <c r="AF42" s="71"/>
      <c r="AI42" s="26" t="s">
        <v>251</v>
      </c>
      <c r="AJ42" s="26">
        <f t="shared" ca="1" si="12"/>
        <v>0</v>
      </c>
      <c r="AK42" s="25" t="s">
        <v>252</v>
      </c>
      <c r="AM42" s="9" t="s">
        <v>253</v>
      </c>
      <c r="AN42" s="9">
        <f t="shared" si="13"/>
        <v>0</v>
      </c>
      <c r="AO42" s="70">
        <f>$AN42*Utslippsdata!C120</f>
        <v>0</v>
      </c>
      <c r="AP42" s="70">
        <f>$AN42*Utslippsdata!D120</f>
        <v>0</v>
      </c>
      <c r="AQ42" s="70">
        <f>$AN42*Utslippsdata!E120</f>
        <v>0</v>
      </c>
      <c r="AR42" s="70">
        <f>$AN42*Utslippsdata!F120</f>
        <v>0</v>
      </c>
      <c r="AS42" s="70">
        <f>$AN42*Utslippsdata!G120</f>
        <v>0</v>
      </c>
      <c r="AT42" s="70">
        <f>$AN42*Utslippsdata!H120</f>
        <v>0</v>
      </c>
    </row>
    <row r="43" spans="3:53">
      <c r="C43" s="118" t="s">
        <v>254</v>
      </c>
      <c r="D43" s="118"/>
      <c r="E43" s="118" t="s">
        <v>255</v>
      </c>
      <c r="F43" s="137" t="s">
        <v>90</v>
      </c>
      <c r="G43" s="138"/>
      <c r="H43" s="138"/>
      <c r="I43" s="138"/>
      <c r="J43" s="117"/>
      <c r="AA43" s="72"/>
      <c r="AE43" s="71" t="s">
        <v>256</v>
      </c>
      <c r="AF43" s="71"/>
      <c r="AI43" s="26" t="s">
        <v>257</v>
      </c>
      <c r="AJ43" s="26">
        <f t="shared" ca="1" si="12"/>
        <v>0</v>
      </c>
      <c r="AM43" s="9" t="s">
        <v>258</v>
      </c>
      <c r="AN43" s="9">
        <f t="shared" si="13"/>
        <v>0</v>
      </c>
      <c r="AO43" s="70">
        <f>$AN43*Utslippsdata!C121</f>
        <v>0</v>
      </c>
      <c r="AP43" s="70">
        <f>$AN43*Utslippsdata!D121</f>
        <v>0</v>
      </c>
      <c r="AQ43" s="70">
        <f>$AN43*Utslippsdata!E121</f>
        <v>0</v>
      </c>
      <c r="AR43" s="70">
        <f>$AN43*Utslippsdata!F121</f>
        <v>0</v>
      </c>
      <c r="AS43" s="70">
        <f>$AN43*Utslippsdata!G121</f>
        <v>0</v>
      </c>
      <c r="AT43" s="70">
        <f>$AN43*Utslippsdata!H121</f>
        <v>0</v>
      </c>
    </row>
    <row r="44" spans="3:53" ht="14.25" customHeight="1">
      <c r="C44" s="124" t="s">
        <v>259</v>
      </c>
      <c r="D44" s="133"/>
      <c r="E44" s="108" t="s">
        <v>260</v>
      </c>
      <c r="F44" s="355"/>
      <c r="G44" s="355"/>
      <c r="H44" s="355"/>
      <c r="I44" s="355"/>
      <c r="J44" s="355"/>
      <c r="V44" s="71" t="s">
        <v>261</v>
      </c>
      <c r="AA44" s="72"/>
      <c r="AE44" s="38">
        <f>D54*Utslippsdata!C146</f>
        <v>0</v>
      </c>
      <c r="AF44" s="26" t="s">
        <v>262</v>
      </c>
      <c r="AM44" s="9" t="s">
        <v>263</v>
      </c>
      <c r="AN44" s="9">
        <f t="shared" si="13"/>
        <v>0</v>
      </c>
      <c r="AO44" s="70">
        <f>$AN44*Utslippsdata!C122</f>
        <v>0</v>
      </c>
      <c r="AP44" s="70">
        <f>$AN44*Utslippsdata!D122</f>
        <v>0</v>
      </c>
      <c r="AQ44" s="70">
        <f>$AN44*Utslippsdata!E122</f>
        <v>0</v>
      </c>
      <c r="AR44" s="70">
        <f>$AN44*Utslippsdata!F122</f>
        <v>0</v>
      </c>
      <c r="AS44" s="70">
        <f>$AN44*Utslippsdata!G122</f>
        <v>0</v>
      </c>
      <c r="AT44" s="70">
        <f>$AN44*Utslippsdata!H122</f>
        <v>0</v>
      </c>
    </row>
    <row r="45" spans="3:53">
      <c r="C45" s="14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109"/>
      <c r="E45" s="109"/>
      <c r="F45" s="109"/>
      <c r="G45" s="109"/>
      <c r="H45" s="109"/>
      <c r="I45" s="109"/>
      <c r="J45" s="109"/>
      <c r="V45" s="26" t="s">
        <v>264</v>
      </c>
      <c r="AA45" s="45" t="s">
        <v>265</v>
      </c>
      <c r="AE45" s="38">
        <f>D55*Utslippsdata!C147</f>
        <v>0</v>
      </c>
      <c r="AF45" s="26" t="s">
        <v>262</v>
      </c>
      <c r="AI45" s="25" t="s">
        <v>266</v>
      </c>
      <c r="AJ45" s="25">
        <v>1.95</v>
      </c>
      <c r="AM45" s="9" t="s">
        <v>267</v>
      </c>
      <c r="AN45" s="9">
        <f t="shared" si="13"/>
        <v>0</v>
      </c>
      <c r="AO45" s="70">
        <f>$AN45*Utslippsdata!C123</f>
        <v>0</v>
      </c>
      <c r="AP45" s="70">
        <f>$AN45*Utslippsdata!D123</f>
        <v>0</v>
      </c>
      <c r="AQ45" s="70">
        <f>$AN45*Utslippsdata!E123</f>
        <v>0</v>
      </c>
      <c r="AR45" s="70">
        <f>$AN45*Utslippsdata!F123</f>
        <v>0</v>
      </c>
      <c r="AS45" s="70">
        <f>$AN45*Utslippsdata!G123</f>
        <v>0</v>
      </c>
      <c r="AT45" s="70">
        <f>$AN45*Utslippsdata!H123</f>
        <v>0</v>
      </c>
    </row>
    <row r="46" spans="3:53" ht="15" customHeight="1">
      <c r="C46" s="141" t="str">
        <f>IF(E44=Nei,"","*Hvis ja skal materialutslipp fra solceller, inverter, kabler, festesystem og ballast inkluderes i A1-A3, A4, A5, B1-B5 (antatt 30 år levetid) og C1-C4 inkluderes i resultattabell under")</f>
        <v/>
      </c>
      <c r="D46" s="109"/>
      <c r="E46" s="109"/>
      <c r="F46" s="109"/>
      <c r="G46" s="109"/>
      <c r="H46" s="109"/>
      <c r="I46" s="109"/>
      <c r="J46" s="109"/>
      <c r="V46" s="26">
        <f>IF(E38&gt;0,1,0)</f>
        <v>0</v>
      </c>
      <c r="AA46" s="45" t="s">
        <v>268</v>
      </c>
      <c r="AE46" s="38">
        <f>D56*Utslippsdata!C148</f>
        <v>0</v>
      </c>
      <c r="AF46" s="26" t="s">
        <v>262</v>
      </c>
      <c r="AI46" s="25" t="s">
        <v>269</v>
      </c>
      <c r="AJ46" s="25">
        <f>IF((OR(E30=0,E30="")),AJ45,E30)</f>
        <v>1.95</v>
      </c>
      <c r="AM46" s="9" t="s">
        <v>270</v>
      </c>
      <c r="AN46" s="9">
        <f t="shared" si="13"/>
        <v>0</v>
      </c>
      <c r="AO46" s="70">
        <f>$AN46*Utslippsdata!C124</f>
        <v>0</v>
      </c>
      <c r="AP46" s="70">
        <f>$AN46*Utslippsdata!D124</f>
        <v>0</v>
      </c>
      <c r="AQ46" s="70">
        <f>$AN46*Utslippsdata!E124</f>
        <v>0</v>
      </c>
      <c r="AR46" s="70">
        <f>$AN46*Utslippsdata!F124</f>
        <v>0</v>
      </c>
      <c r="AS46" s="70">
        <f>$AN46*Utslippsdata!G124</f>
        <v>0</v>
      </c>
      <c r="AT46" s="70">
        <f>$AN46*Utslippsdata!H124</f>
        <v>0</v>
      </c>
    </row>
    <row r="47" spans="3:53" ht="15" customHeight="1" thickBot="1">
      <c r="C47" s="109"/>
      <c r="D47" s="109"/>
      <c r="E47" s="109"/>
      <c r="F47" s="109"/>
      <c r="G47" s="109"/>
      <c r="H47" s="109"/>
      <c r="I47" s="109"/>
      <c r="J47" s="109"/>
      <c r="AA47" s="73" t="s">
        <v>260</v>
      </c>
      <c r="AE47" s="38">
        <f>D57*Utslippsdata!C149</f>
        <v>0</v>
      </c>
      <c r="AF47" s="26" t="s">
        <v>262</v>
      </c>
      <c r="AI47"/>
      <c r="AM47" s="9" t="s">
        <v>271</v>
      </c>
      <c r="AN47" s="9">
        <f t="shared" si="13"/>
        <v>0</v>
      </c>
      <c r="AO47" s="70">
        <f>$AN47*Utslippsdata!C125</f>
        <v>0</v>
      </c>
      <c r="AP47" s="70">
        <f>$AN47*Utslippsdata!D125</f>
        <v>0</v>
      </c>
      <c r="AQ47" s="70">
        <f>$AN47*Utslippsdata!E125</f>
        <v>0</v>
      </c>
      <c r="AR47" s="70">
        <f>$AN47*Utslippsdata!F125</f>
        <v>0</v>
      </c>
      <c r="AS47" s="70">
        <f>$AN47*Utslippsdata!G125</f>
        <v>0</v>
      </c>
      <c r="AT47" s="70">
        <f>$AN47*Utslippsdata!H125</f>
        <v>0</v>
      </c>
    </row>
    <row r="48" spans="3:53" ht="15" customHeight="1">
      <c r="C48" s="139" t="s">
        <v>272</v>
      </c>
      <c r="D48" s="389" t="s">
        <v>273</v>
      </c>
      <c r="E48" s="390" t="s">
        <v>274</v>
      </c>
      <c r="F48" s="390" t="s">
        <v>164</v>
      </c>
      <c r="G48" s="390" t="s">
        <v>275</v>
      </c>
      <c r="H48" s="390" t="s">
        <v>90</v>
      </c>
      <c r="I48" s="390"/>
      <c r="J48" s="390"/>
      <c r="AE48" s="194">
        <f>SUM(AE44:AE47)/1000</f>
        <v>0</v>
      </c>
      <c r="AF48" s="66" t="s">
        <v>212</v>
      </c>
      <c r="AI48" s="26" t="s">
        <v>276</v>
      </c>
      <c r="AJ48" s="26">
        <f ca="1">ROUND(AJ35*AJ46+AJ39,0)</f>
        <v>0</v>
      </c>
      <c r="AK48" s="25" t="s">
        <v>238</v>
      </c>
      <c r="AM48" s="9" t="s">
        <v>277</v>
      </c>
      <c r="AN48" s="9">
        <f t="shared" si="13"/>
        <v>0</v>
      </c>
      <c r="AO48" s="70">
        <f>$AN48*Utslippsdata!C126</f>
        <v>0</v>
      </c>
      <c r="AP48" s="70">
        <f>$AN48*Utslippsdata!D126</f>
        <v>0</v>
      </c>
      <c r="AQ48" s="70">
        <f>$AN48*Utslippsdata!E126</f>
        <v>0</v>
      </c>
      <c r="AR48" s="70">
        <f>$AN48*Utslippsdata!F126</f>
        <v>0</v>
      </c>
      <c r="AS48" s="70">
        <f>$AN48*Utslippsdata!G126</f>
        <v>0</v>
      </c>
      <c r="AT48" s="70">
        <f>$AN48*Utslippsdata!H126</f>
        <v>0</v>
      </c>
    </row>
    <row r="49" spans="3:46" ht="14.4">
      <c r="C49" s="118" t="s">
        <v>278</v>
      </c>
      <c r="D49" s="389"/>
      <c r="E49" s="390"/>
      <c r="F49" s="390"/>
      <c r="G49" s="390"/>
      <c r="H49" s="390"/>
      <c r="I49" s="390"/>
      <c r="J49" s="390"/>
      <c r="M49" s="48"/>
      <c r="N49" s="48"/>
      <c r="O49" s="48"/>
      <c r="P49" s="48"/>
      <c r="Q49" s="48"/>
      <c r="R49" s="48"/>
      <c r="S49" s="48"/>
      <c r="T49" s="48"/>
      <c r="U49" s="48"/>
      <c r="AI49"/>
      <c r="AM49" s="74" t="s">
        <v>183</v>
      </c>
      <c r="AN49" s="74"/>
      <c r="AO49" s="75">
        <f t="shared" ref="AO49:AT49" si="14">SUM(AO38:AO48)</f>
        <v>0</v>
      </c>
      <c r="AP49" s="75">
        <f t="shared" si="14"/>
        <v>0</v>
      </c>
      <c r="AQ49" s="75">
        <f t="shared" si="14"/>
        <v>0</v>
      </c>
      <c r="AR49" s="75">
        <f t="shared" si="14"/>
        <v>0</v>
      </c>
      <c r="AS49" s="75">
        <f t="shared" si="14"/>
        <v>0</v>
      </c>
      <c r="AT49" s="75">
        <f t="shared" si="14"/>
        <v>0</v>
      </c>
    </row>
    <row r="50" spans="3:46" ht="14.1">
      <c r="C50" s="107" t="s">
        <v>279</v>
      </c>
      <c r="D50" s="108">
        <v>50</v>
      </c>
      <c r="E50" s="140">
        <v>0</v>
      </c>
      <c r="F50" s="107" t="s">
        <v>280</v>
      </c>
      <c r="G50" s="108" t="s">
        <v>281</v>
      </c>
      <c r="H50" s="355"/>
      <c r="I50" s="355"/>
      <c r="J50" s="355"/>
      <c r="M50" s="48"/>
      <c r="N50" s="48"/>
      <c r="O50" s="48"/>
      <c r="P50" s="48"/>
      <c r="Q50" s="48"/>
      <c r="R50" s="48"/>
      <c r="S50" s="48"/>
      <c r="T50" s="48"/>
      <c r="U50" s="48"/>
      <c r="V50" s="27" t="s">
        <v>282</v>
      </c>
      <c r="W50" s="28"/>
      <c r="X50" s="28"/>
      <c r="Y50" s="28"/>
      <c r="Z50" s="28"/>
      <c r="AA50" s="29"/>
      <c r="AE50" s="71" t="s">
        <v>283</v>
      </c>
      <c r="AF50" s="71"/>
      <c r="AI50" s="26" t="str">
        <f ca="1">AJ34&amp;" "&amp;AK34</f>
        <v xml:space="preserve">0 arbeidsplasser, </v>
      </c>
      <c r="AJ50" s="25" t="str">
        <f ca="1">IF(AJ34=0,"",AI50)</f>
        <v/>
      </c>
      <c r="AM50" s="76" t="s">
        <v>284</v>
      </c>
      <c r="AN50" s="76"/>
      <c r="AO50" s="77">
        <f>AO49*$AM$36*Utslippsdata!$C$76/1000</f>
        <v>0</v>
      </c>
      <c r="AP50" s="77">
        <f>AP49*$AM$36*Utslippsdata!$C$76/1000</f>
        <v>0</v>
      </c>
      <c r="AQ50" s="77">
        <f>AQ49*$AM$36*Utslippsdata!$C$76/1000</f>
        <v>0</v>
      </c>
      <c r="AR50" s="77">
        <f>AR49*$AM$36*Utslippsdata!$C$76/1000</f>
        <v>0</v>
      </c>
      <c r="AS50" s="77">
        <f>AS49*$AM$36*Utslippsdata!$C$76/1000</f>
        <v>0</v>
      </c>
      <c r="AT50" s="77">
        <f>AT49*$AM$36*Utslippsdata!$C$76/1000</f>
        <v>0</v>
      </c>
    </row>
    <row r="51" spans="3:46">
      <c r="C51" s="107" t="s">
        <v>285</v>
      </c>
      <c r="D51" s="108">
        <v>50</v>
      </c>
      <c r="E51" s="140">
        <v>0</v>
      </c>
      <c r="F51" s="107" t="s">
        <v>280</v>
      </c>
      <c r="G51" s="108" t="s">
        <v>281</v>
      </c>
      <c r="H51" s="356"/>
      <c r="I51" s="357"/>
      <c r="J51" s="358"/>
      <c r="N51" s="48"/>
      <c r="V51" s="78">
        <v>1</v>
      </c>
      <c r="W51" s="78">
        <v>2</v>
      </c>
      <c r="X51" s="78">
        <v>3</v>
      </c>
      <c r="Y51" s="78">
        <v>4</v>
      </c>
      <c r="Z51" s="78">
        <v>5</v>
      </c>
      <c r="AE51" s="26">
        <f>D60*(Utslippsdata!C133+Utslippsdata!$C$136)</f>
        <v>0</v>
      </c>
      <c r="AF51" s="26" t="s">
        <v>262</v>
      </c>
      <c r="AI51" s="26" t="str">
        <f ca="1">AJ36&amp;" "&amp;AK36</f>
        <v xml:space="preserve">0 elevplasser, </v>
      </c>
      <c r="AJ51" s="25" t="str">
        <f ca="1">IF(AJ36=0,"",AI51)</f>
        <v/>
      </c>
    </row>
    <row r="52" spans="3:46">
      <c r="C52" s="109"/>
      <c r="D52" s="109"/>
      <c r="E52" s="109"/>
      <c r="F52" s="109"/>
      <c r="G52" s="109"/>
      <c r="H52" s="109"/>
      <c r="I52" s="109"/>
      <c r="J52" s="109"/>
      <c r="N52" s="48"/>
      <c r="V52" s="36" t="s">
        <v>275</v>
      </c>
      <c r="W52" s="36"/>
      <c r="AE52" s="26">
        <f>D61*(Utslippsdata!C134+Utslippsdata!$C$136)</f>
        <v>0</v>
      </c>
      <c r="AF52" s="26" t="s">
        <v>262</v>
      </c>
      <c r="AI52" s="26" t="str">
        <f ca="1">AJ38&amp;" "&amp;AK38</f>
        <v xml:space="preserve">0 beboere på sykehjem, </v>
      </c>
      <c r="AJ52" s="25" t="str">
        <f ca="1">IF(AJ38=0,"",AI52)</f>
        <v/>
      </c>
    </row>
    <row r="53" spans="3:46">
      <c r="C53" s="118" t="s">
        <v>286</v>
      </c>
      <c r="D53" s="118" t="s">
        <v>287</v>
      </c>
      <c r="E53" s="118" t="s">
        <v>164</v>
      </c>
      <c r="F53" s="137" t="s">
        <v>90</v>
      </c>
      <c r="G53" s="138"/>
      <c r="H53" s="138"/>
      <c r="I53" s="138"/>
      <c r="J53" s="117"/>
      <c r="N53" s="48"/>
      <c r="V53" s="26" t="s">
        <v>281</v>
      </c>
      <c r="W53" s="26"/>
      <c r="Z53" s="79">
        <f>Z54</f>
        <v>0.13887096774193547</v>
      </c>
      <c r="AA53" s="26" t="s">
        <v>288</v>
      </c>
      <c r="AE53" s="26">
        <f>D62*(Utslippsdata!C135+Utslippsdata!$C$136)</f>
        <v>0</v>
      </c>
      <c r="AF53" s="26" t="s">
        <v>262</v>
      </c>
      <c r="AI53" s="26" t="str">
        <f ca="1">AJ40&amp;" "&amp;AK40</f>
        <v xml:space="preserve">0 plasser for barn, </v>
      </c>
      <c r="AJ53" s="25" t="str">
        <f ca="1">IF(AJ40=0,"",AI53)</f>
        <v/>
      </c>
    </row>
    <row r="54" spans="3:46">
      <c r="C54" s="107" t="s">
        <v>289</v>
      </c>
      <c r="D54" s="108"/>
      <c r="E54" s="108" t="s">
        <v>228</v>
      </c>
      <c r="F54" s="356"/>
      <c r="G54" s="357"/>
      <c r="H54" s="357"/>
      <c r="I54" s="357"/>
      <c r="J54" s="358"/>
      <c r="N54" s="48"/>
      <c r="V54" s="26" t="s">
        <v>290</v>
      </c>
      <c r="W54" s="26">
        <v>2.87</v>
      </c>
      <c r="X54" s="25" t="s">
        <v>291</v>
      </c>
      <c r="Z54" s="80">
        <f>W59*W54/W58</f>
        <v>0.13887096774193547</v>
      </c>
      <c r="AA54" s="26" t="s">
        <v>288</v>
      </c>
      <c r="AE54" s="26">
        <f>D63*Utslippsdata!C136</f>
        <v>0</v>
      </c>
      <c r="AF54" s="26" t="s">
        <v>262</v>
      </c>
      <c r="AI54" s="26" t="str">
        <f ca="1">AJ41&amp;" "&amp;AK41</f>
        <v xml:space="preserve">0 besøkende pr år, </v>
      </c>
      <c r="AJ54" s="25" t="str">
        <f ca="1">IF(AJ41=0,"",AI54)</f>
        <v/>
      </c>
    </row>
    <row r="55" spans="3:46">
      <c r="C55" s="107" t="s">
        <v>292</v>
      </c>
      <c r="D55" s="108"/>
      <c r="E55" s="108" t="s">
        <v>228</v>
      </c>
      <c r="F55" s="356"/>
      <c r="G55" s="357"/>
      <c r="H55" s="357"/>
      <c r="I55" s="357"/>
      <c r="J55" s="358"/>
      <c r="N55" s="48"/>
      <c r="V55" s="26" t="s">
        <v>293</v>
      </c>
      <c r="W55" s="26"/>
      <c r="Z55" s="80">
        <f>W59*W60*Utslippsdata!C78/W58</f>
        <v>5.0112597937020005E-3</v>
      </c>
      <c r="AA55" s="26" t="s">
        <v>288</v>
      </c>
      <c r="AE55" s="26">
        <f>D64*Utslippsdata!C140</f>
        <v>0</v>
      </c>
      <c r="AF55" s="26" t="s">
        <v>262</v>
      </c>
      <c r="AI55" s="26" t="str">
        <f ca="1">AJ42&amp;" "&amp;AK42</f>
        <v xml:space="preserve">0 hotellsenger, </v>
      </c>
      <c r="AJ55" s="25" t="str">
        <f ca="1">IF(AJ42=0,"",AI55)</f>
        <v/>
      </c>
    </row>
    <row r="56" spans="3:46">
      <c r="C56" s="107" t="s">
        <v>294</v>
      </c>
      <c r="D56" s="108"/>
      <c r="E56" s="108" t="s">
        <v>228</v>
      </c>
      <c r="F56" s="356"/>
      <c r="G56" s="357"/>
      <c r="H56" s="357"/>
      <c r="I56" s="357"/>
      <c r="J56" s="358"/>
      <c r="N56" s="48"/>
      <c r="V56" s="26" t="s">
        <v>295</v>
      </c>
      <c r="W56" s="26">
        <v>1.462518</v>
      </c>
      <c r="X56" s="25" t="s">
        <v>296</v>
      </c>
      <c r="Z56" s="80">
        <f>W61*W63*W56/W58</f>
        <v>7.2654119999999989E-2</v>
      </c>
      <c r="AA56" s="26" t="s">
        <v>288</v>
      </c>
      <c r="AE56" s="26">
        <f>D65*Utslippsdata!C141</f>
        <v>0</v>
      </c>
      <c r="AF56" s="26" t="s">
        <v>262</v>
      </c>
      <c r="AI56" s="200" t="str">
        <f ca="1">AJ48&amp;" "&amp;AK48</f>
        <v xml:space="preserve">0 bosatte, </v>
      </c>
      <c r="AJ56" s="25" t="str">
        <f ca="1">IF(AJ48=0,"",AI56)</f>
        <v/>
      </c>
      <c r="AN56" s="27" t="s">
        <v>297</v>
      </c>
      <c r="AO56" s="28"/>
      <c r="AP56" s="28"/>
      <c r="AQ56" s="28"/>
      <c r="AR56" s="29"/>
    </row>
    <row r="57" spans="3:46">
      <c r="C57" s="107" t="s">
        <v>298</v>
      </c>
      <c r="D57" s="108"/>
      <c r="E57" s="108" t="s">
        <v>228</v>
      </c>
      <c r="F57" s="356"/>
      <c r="G57" s="357"/>
      <c r="H57" s="357"/>
      <c r="I57" s="357"/>
      <c r="J57" s="358"/>
      <c r="N57" s="48"/>
      <c r="AE57" s="26">
        <f>D66*Utslippsdata!C142</f>
        <v>0</v>
      </c>
      <c r="AF57" s="26" t="s">
        <v>262</v>
      </c>
      <c r="AI57" s="74" t="str">
        <f ca="1">AJ50&amp;AJ51&amp;AJ52&amp;AJ53&amp;AJ54&amp;AJ55&amp;AJ56</f>
        <v/>
      </c>
      <c r="AJ57" s="74"/>
    </row>
    <row r="58" spans="3:46" ht="14.1">
      <c r="C58" s="109"/>
      <c r="D58" s="109"/>
      <c r="E58" s="109"/>
      <c r="F58" s="109"/>
      <c r="G58" s="109"/>
      <c r="H58" s="109"/>
      <c r="I58" s="109"/>
      <c r="J58" s="109"/>
      <c r="N58" s="48"/>
      <c r="V58" s="26" t="s">
        <v>299</v>
      </c>
      <c r="W58" s="26">
        <v>9.3000000000000007</v>
      </c>
      <c r="X58" s="26" t="s">
        <v>300</v>
      </c>
      <c r="AE58" s="66">
        <f>SUM(AE51:AE57)/1000</f>
        <v>0</v>
      </c>
      <c r="AF58" s="66" t="s">
        <v>212</v>
      </c>
      <c r="AI58" s="74">
        <f ca="1">AJ34+AJ36+AJ38+AJ40+AJ41+AJ42+AJ48</f>
        <v>0</v>
      </c>
      <c r="AJ58" s="74" t="s">
        <v>301</v>
      </c>
    </row>
    <row r="59" spans="3:46">
      <c r="C59" s="118" t="s">
        <v>302</v>
      </c>
      <c r="D59" s="118" t="s">
        <v>303</v>
      </c>
      <c r="E59" s="118" t="s">
        <v>164</v>
      </c>
      <c r="F59" s="137" t="s">
        <v>90</v>
      </c>
      <c r="G59" s="138"/>
      <c r="H59" s="138"/>
      <c r="I59" s="138"/>
      <c r="J59" s="117"/>
      <c r="N59" s="48"/>
      <c r="V59" s="26" t="s">
        <v>304</v>
      </c>
      <c r="W59" s="26">
        <f>0.45</f>
        <v>0.45</v>
      </c>
      <c r="X59" s="26" t="s">
        <v>305</v>
      </c>
      <c r="Y59" s="26" t="s">
        <v>306</v>
      </c>
      <c r="Z59" s="26" t="s">
        <v>307</v>
      </c>
    </row>
    <row r="60" spans="3:46">
      <c r="C60" s="107" t="s">
        <v>308</v>
      </c>
      <c r="D60" s="108"/>
      <c r="E60" s="108" t="s">
        <v>228</v>
      </c>
      <c r="F60" s="356"/>
      <c r="G60" s="357"/>
      <c r="H60" s="357"/>
      <c r="I60" s="357"/>
      <c r="J60" s="358"/>
      <c r="N60" s="48"/>
      <c r="V60" s="26" t="s">
        <v>309</v>
      </c>
      <c r="W60" s="26">
        <v>4.2888888888888896</v>
      </c>
      <c r="X60" s="26" t="s">
        <v>310</v>
      </c>
      <c r="Y60" s="26"/>
      <c r="Z60" s="26"/>
    </row>
    <row r="61" spans="3:46">
      <c r="C61" s="107" t="s">
        <v>311</v>
      </c>
      <c r="D61" s="108"/>
      <c r="E61" s="108" t="s">
        <v>228</v>
      </c>
      <c r="F61" s="356"/>
      <c r="G61" s="357"/>
      <c r="H61" s="357"/>
      <c r="I61" s="357"/>
      <c r="J61" s="358"/>
      <c r="N61" s="48"/>
      <c r="V61" s="26" t="s">
        <v>312</v>
      </c>
      <c r="W61" s="26">
        <v>0.7</v>
      </c>
      <c r="X61" s="26" t="s">
        <v>313</v>
      </c>
      <c r="Y61" s="26" t="s">
        <v>314</v>
      </c>
      <c r="Z61" s="26" t="s">
        <v>315</v>
      </c>
    </row>
    <row r="62" spans="3:46">
      <c r="C62" s="107" t="s">
        <v>316</v>
      </c>
      <c r="D62" s="108"/>
      <c r="E62" s="108" t="s">
        <v>228</v>
      </c>
      <c r="F62" s="356"/>
      <c r="G62" s="357"/>
      <c r="H62" s="357"/>
      <c r="I62" s="357"/>
      <c r="J62" s="358"/>
      <c r="N62" s="48"/>
      <c r="V62" s="26" t="s">
        <v>312</v>
      </c>
      <c r="W62" s="26">
        <f>623251/1080000</f>
        <v>0.57708425925925921</v>
      </c>
      <c r="X62" s="26" t="s">
        <v>313</v>
      </c>
      <c r="Y62" s="26" t="s">
        <v>317</v>
      </c>
      <c r="Z62" s="26"/>
    </row>
    <row r="63" spans="3:46">
      <c r="C63" s="107" t="s">
        <v>318</v>
      </c>
      <c r="D63" s="108"/>
      <c r="E63" s="108" t="s">
        <v>228</v>
      </c>
      <c r="F63" s="356"/>
      <c r="G63" s="357"/>
      <c r="H63" s="357"/>
      <c r="I63" s="357"/>
      <c r="J63" s="358"/>
      <c r="N63" s="48"/>
      <c r="V63" s="26" t="s">
        <v>295</v>
      </c>
      <c r="W63" s="26">
        <v>0.66</v>
      </c>
      <c r="X63" s="26" t="s">
        <v>319</v>
      </c>
      <c r="Y63" s="26" t="s">
        <v>317</v>
      </c>
      <c r="Z63" s="26"/>
      <c r="AI63" s="25" t="str">
        <f>AJ47&amp;" "&amp;AK47</f>
        <v xml:space="preserve"> </v>
      </c>
    </row>
    <row r="64" spans="3:46">
      <c r="C64" s="107" t="s">
        <v>320</v>
      </c>
      <c r="D64" s="108"/>
      <c r="E64" s="108" t="s">
        <v>301</v>
      </c>
      <c r="F64" s="356"/>
      <c r="G64" s="357"/>
      <c r="H64" s="357"/>
      <c r="I64" s="357"/>
      <c r="J64" s="358"/>
      <c r="N64" s="48"/>
    </row>
    <row r="65" spans="3:38">
      <c r="C65" s="107" t="s">
        <v>321</v>
      </c>
      <c r="D65" s="108"/>
      <c r="E65" s="108" t="s">
        <v>301</v>
      </c>
      <c r="F65" s="356"/>
      <c r="G65" s="357"/>
      <c r="H65" s="357"/>
      <c r="I65" s="357"/>
      <c r="J65" s="358"/>
      <c r="N65" s="48"/>
      <c r="V65" s="334" t="s">
        <v>322</v>
      </c>
      <c r="W65" s="334"/>
      <c r="X65" s="334"/>
      <c r="Y65" s="334"/>
      <c r="Z65" s="334"/>
    </row>
    <row r="66" spans="3:38">
      <c r="C66" s="107" t="s">
        <v>323</v>
      </c>
      <c r="D66" s="108"/>
      <c r="E66" s="108" t="s">
        <v>301</v>
      </c>
      <c r="F66" s="356"/>
      <c r="G66" s="357"/>
      <c r="H66" s="357"/>
      <c r="I66" s="357"/>
      <c r="J66" s="358"/>
      <c r="N66" s="48"/>
      <c r="V66" s="26" t="s">
        <v>324</v>
      </c>
      <c r="W66" s="26" t="s">
        <v>325</v>
      </c>
      <c r="X66" s="26" t="s">
        <v>31</v>
      </c>
      <c r="Y66" s="26" t="s">
        <v>326</v>
      </c>
      <c r="Z66" s="26"/>
    </row>
    <row r="67" spans="3:38">
      <c r="G67" s="294"/>
      <c r="H67" s="294"/>
      <c r="I67" s="294"/>
      <c r="J67" s="294"/>
      <c r="N67" s="48"/>
      <c r="V67" s="26">
        <v>50</v>
      </c>
      <c r="W67" s="26">
        <v>2</v>
      </c>
      <c r="X67" s="70">
        <f>E50*V67*W67*Z54/1000</f>
        <v>0</v>
      </c>
      <c r="Y67" s="70">
        <f>E50*V67*W67*VLOOKUP(G50,$V$53:$Z$56,$Z$51,FALSE)/1000</f>
        <v>0</v>
      </c>
      <c r="Z67" s="26" t="s">
        <v>327</v>
      </c>
    </row>
    <row r="68" spans="3:38">
      <c r="G68" s="294"/>
      <c r="H68" s="294"/>
      <c r="I68" s="294"/>
      <c r="J68" s="294"/>
      <c r="V68" s="26">
        <v>50</v>
      </c>
      <c r="W68" s="26">
        <v>2</v>
      </c>
      <c r="X68" s="70">
        <f>E51*V68*W68*Z54/1000</f>
        <v>0</v>
      </c>
      <c r="Y68" s="70">
        <f>E51*V68*W68*VLOOKUP(G51,$V$53:$Z$56,$Z$51,FALSE)/1000</f>
        <v>0</v>
      </c>
      <c r="Z68" s="26" t="s">
        <v>327</v>
      </c>
    </row>
    <row r="69" spans="3:38" hidden="1">
      <c r="C69" s="2"/>
      <c r="D69" s="2"/>
      <c r="E69" s="2"/>
      <c r="F69" s="2"/>
      <c r="G69" s="362"/>
      <c r="H69" s="362"/>
      <c r="I69" s="362"/>
      <c r="J69" s="362"/>
      <c r="X69" s="81">
        <f>X67+X68</f>
        <v>0</v>
      </c>
      <c r="Y69" s="81">
        <f>Y67+Y68</f>
        <v>0</v>
      </c>
      <c r="Z69" s="26" t="s">
        <v>327</v>
      </c>
    </row>
    <row r="70" spans="3:38" hidden="1"/>
    <row r="71" spans="3:38" hidden="1"/>
    <row r="72" spans="3:38" hidden="1"/>
    <row r="73" spans="3:38" hidden="1"/>
    <row r="74" spans="3:38" hidden="1"/>
    <row r="76" spans="3:38" ht="24.9">
      <c r="C76" s="23" t="s">
        <v>422</v>
      </c>
    </row>
    <row r="77" spans="3:38">
      <c r="X77" s="2"/>
      <c r="Y77" s="2"/>
      <c r="Z77" s="2"/>
      <c r="AA77" s="2"/>
      <c r="AB77" s="2"/>
      <c r="AC77" s="2"/>
      <c r="AD77" s="2"/>
      <c r="AE77" s="2"/>
    </row>
    <row r="78" spans="3:38" ht="15" customHeight="1">
      <c r="C78" s="374" t="s">
        <v>329</v>
      </c>
      <c r="D78" s="363" t="str">
        <f>"Tonn CO2 ekv, "&amp;VLOOKUP('Generelt om prosjektet'!C25,'Generelt om prosjektet'!W25:X28,2,FALSE)&amp;". Klimagassutslippene er oppgit uten hensyn til binding av biogent karbon."</f>
        <v>Tonn CO2 ekv, GWP. Klimagassutslippene er oppgit uten hensyn til binding av biogent karbon.</v>
      </c>
      <c r="E78" s="364"/>
      <c r="F78" s="364"/>
      <c r="G78" s="364"/>
      <c r="H78" s="376" t="s">
        <v>330</v>
      </c>
      <c r="I78" s="142" t="s">
        <v>90</v>
      </c>
      <c r="J78" s="143"/>
      <c r="K78" s="143"/>
      <c r="L78" s="144"/>
      <c r="V78" s="48" t="s">
        <v>331</v>
      </c>
      <c r="AB78" s="2"/>
      <c r="AC78" s="2"/>
      <c r="AD78" s="2"/>
      <c r="AE78" s="2"/>
    </row>
    <row r="79" spans="3:38" ht="45" customHeight="1">
      <c r="C79" s="375"/>
      <c r="D79" s="145" t="s">
        <v>332</v>
      </c>
      <c r="E79" s="146" t="s">
        <v>333</v>
      </c>
      <c r="F79" s="146" t="s">
        <v>334</v>
      </c>
      <c r="G79" s="147" t="s">
        <v>183</v>
      </c>
      <c r="H79" s="377"/>
      <c r="I79" s="148"/>
      <c r="J79" s="149"/>
      <c r="K79" s="149"/>
      <c r="L79" s="150"/>
      <c r="V79" s="84" t="s">
        <v>31</v>
      </c>
      <c r="W79" s="84" t="s">
        <v>335</v>
      </c>
      <c r="X79" s="84" t="s">
        <v>336</v>
      </c>
      <c r="Y79" s="84" t="s">
        <v>337</v>
      </c>
      <c r="Z79" s="84" t="s">
        <v>338</v>
      </c>
      <c r="AB79" s="2"/>
      <c r="AC79" s="2"/>
      <c r="AD79" s="2"/>
      <c r="AE79" s="2"/>
    </row>
    <row r="80" spans="3:38" ht="30" customHeight="1">
      <c r="C80" s="110" t="s">
        <v>339</v>
      </c>
      <c r="D80" s="151"/>
      <c r="E80" s="140"/>
      <c r="F80" s="152"/>
      <c r="G80" s="153">
        <f>E80</f>
        <v>0</v>
      </c>
      <c r="H80" s="195">
        <f>IF(G93=0,0,IF(G80=0,0.1,G80))</f>
        <v>0</v>
      </c>
      <c r="I80" s="365"/>
      <c r="J80" s="366"/>
      <c r="K80" s="366"/>
      <c r="L80" s="367"/>
      <c r="U80" s="196">
        <f>G80</f>
        <v>0</v>
      </c>
      <c r="V80" s="85">
        <f>SUM(BB19:BB24)/1000</f>
        <v>0</v>
      </c>
      <c r="W80" s="86" t="s">
        <v>340</v>
      </c>
      <c r="X80" s="26" t="s">
        <v>341</v>
      </c>
      <c r="Y80" s="86" t="s">
        <v>342</v>
      </c>
      <c r="Z80" s="26" t="s">
        <v>341</v>
      </c>
      <c r="AH80" s="15" t="s">
        <v>30</v>
      </c>
      <c r="AI80" s="70">
        <f>G80</f>
        <v>0</v>
      </c>
      <c r="AJ80" s="87">
        <f>V80</f>
        <v>0</v>
      </c>
      <c r="AK80" s="88">
        <f>IFERROR(AI80/AJ80,0)</f>
        <v>0</v>
      </c>
      <c r="AL80" s="26"/>
    </row>
    <row r="81" spans="3:38" ht="15" customHeight="1">
      <c r="C81" s="154" t="s">
        <v>343</v>
      </c>
      <c r="D81" s="140"/>
      <c r="E81" s="140"/>
      <c r="F81" s="151"/>
      <c r="G81" s="153">
        <f>D81+E81</f>
        <v>0</v>
      </c>
      <c r="H81" s="22">
        <f>IFERROR(G81/V81,1)</f>
        <v>1</v>
      </c>
      <c r="I81" s="359"/>
      <c r="J81" s="360"/>
      <c r="K81" s="360"/>
      <c r="L81" s="361"/>
      <c r="U81" s="196">
        <f>G81</f>
        <v>0</v>
      </c>
      <c r="V81" s="89">
        <f>(AN25+AS25+AO25+AT25)/1000</f>
        <v>0</v>
      </c>
      <c r="W81" s="90">
        <v>1.1000000000000001</v>
      </c>
      <c r="X81" s="90">
        <v>0.9</v>
      </c>
      <c r="Y81" s="90">
        <v>0.1</v>
      </c>
      <c r="Z81" s="91">
        <v>0</v>
      </c>
      <c r="AH81" s="15" t="s">
        <v>32</v>
      </c>
      <c r="AI81" s="70">
        <f>G81</f>
        <v>0</v>
      </c>
      <c r="AJ81" s="70">
        <f>V81</f>
        <v>0</v>
      </c>
      <c r="AK81" s="88">
        <f>IFERROR(AI81/AJ81,0)</f>
        <v>0</v>
      </c>
      <c r="AL81" s="26"/>
    </row>
    <row r="82" spans="3:38">
      <c r="C82" s="107" t="s">
        <v>344</v>
      </c>
      <c r="D82" s="140"/>
      <c r="E82" s="140"/>
      <c r="F82" s="140"/>
      <c r="G82" s="153">
        <f>D82+E82+F82</f>
        <v>0</v>
      </c>
      <c r="H82" s="22">
        <f>IFERROR(G82/V82,1)</f>
        <v>1</v>
      </c>
      <c r="I82" s="368"/>
      <c r="J82" s="369"/>
      <c r="K82" s="369"/>
      <c r="L82" s="370"/>
      <c r="U82" s="196">
        <f>G82</f>
        <v>0</v>
      </c>
      <c r="V82" s="89">
        <f>(SUM(AN19:AN24)+SUM(AS19:AS24))/1000</f>
        <v>0</v>
      </c>
      <c r="W82" s="90">
        <v>1.1000000000000001</v>
      </c>
      <c r="X82" s="90">
        <v>0.9</v>
      </c>
      <c r="Y82" s="90">
        <v>0.1</v>
      </c>
      <c r="Z82" s="91">
        <v>0</v>
      </c>
      <c r="AH82" s="9" t="s">
        <v>35</v>
      </c>
      <c r="AI82" s="70">
        <f>G82+G83+G89+G92</f>
        <v>0</v>
      </c>
      <c r="AJ82" s="70">
        <f>V82+V83+V89</f>
        <v>0</v>
      </c>
      <c r="AK82" s="88">
        <f>IFERROR(AI82/AJ82,0)</f>
        <v>0</v>
      </c>
      <c r="AL82" s="26"/>
    </row>
    <row r="83" spans="3:38">
      <c r="C83" s="107" t="s">
        <v>345</v>
      </c>
      <c r="D83" s="140"/>
      <c r="E83" s="140"/>
      <c r="F83" s="140"/>
      <c r="G83" s="153">
        <f>D83+E83+F83</f>
        <v>0</v>
      </c>
      <c r="H83" s="22">
        <f>IFERROR(G83/V83,1)</f>
        <v>1</v>
      </c>
      <c r="I83" s="359"/>
      <c r="J83" s="360"/>
      <c r="K83" s="360"/>
      <c r="L83" s="361"/>
      <c r="U83" s="196">
        <f>G83</f>
        <v>0</v>
      </c>
      <c r="V83" s="89">
        <f>(SUM(AO19:AO24)+SUM(AT19:AT24))/1000</f>
        <v>0</v>
      </c>
      <c r="W83" s="90">
        <v>1.1000000000000001</v>
      </c>
      <c r="X83" s="90">
        <v>0.9</v>
      </c>
      <c r="Y83" s="90">
        <v>0.1</v>
      </c>
      <c r="Z83" s="91">
        <v>0</v>
      </c>
      <c r="AH83" s="9" t="s">
        <v>37</v>
      </c>
      <c r="AI83" s="70">
        <f>G84+G85+G86</f>
        <v>0</v>
      </c>
      <c r="AJ83" s="70">
        <f>V84+V85+V86</f>
        <v>0</v>
      </c>
      <c r="AK83" s="88">
        <f>IFERROR((AI83-G85)/AJ83,0)</f>
        <v>0</v>
      </c>
      <c r="AL83" s="26"/>
    </row>
    <row r="84" spans="3:38">
      <c r="C84" s="154" t="s">
        <v>346</v>
      </c>
      <c r="D84" s="140"/>
      <c r="E84" s="140"/>
      <c r="F84" s="140"/>
      <c r="G84" s="153">
        <f>D84+E84+F84</f>
        <v>0</v>
      </c>
      <c r="H84" s="22">
        <f>IFERROR(G84/V84,1)</f>
        <v>1</v>
      </c>
      <c r="I84" s="359"/>
      <c r="J84" s="360"/>
      <c r="K84" s="360"/>
      <c r="L84" s="361"/>
      <c r="U84" s="196">
        <f>G84</f>
        <v>0</v>
      </c>
      <c r="V84" s="89">
        <f>(SUM(AP19:AP25)+SUM(AU19:AU25))/1000</f>
        <v>0</v>
      </c>
      <c r="W84" s="90">
        <v>1.1000000000000001</v>
      </c>
      <c r="X84" s="90">
        <v>0.9</v>
      </c>
      <c r="Y84" s="90">
        <v>0.1</v>
      </c>
      <c r="Z84" s="91">
        <v>0</v>
      </c>
      <c r="AH84" s="9" t="s">
        <v>39</v>
      </c>
      <c r="AI84" s="70">
        <f>G90</f>
        <v>0</v>
      </c>
      <c r="AJ84" s="70">
        <f>V90</f>
        <v>0</v>
      </c>
      <c r="AK84" s="88">
        <f>IFERROR(AI84/AJ84,0)</f>
        <v>0</v>
      </c>
      <c r="AL84" s="26"/>
    </row>
    <row r="85" spans="3:38">
      <c r="C85" s="154" t="s">
        <v>347</v>
      </c>
      <c r="D85" s="371"/>
      <c r="E85" s="372"/>
      <c r="F85" s="373"/>
      <c r="G85" s="153">
        <f>D85</f>
        <v>0</v>
      </c>
      <c r="H85" s="155" t="s">
        <v>341</v>
      </c>
      <c r="I85" s="359"/>
      <c r="J85" s="360"/>
      <c r="K85" s="360"/>
      <c r="L85" s="361"/>
      <c r="U85" s="196"/>
      <c r="V85" s="92"/>
      <c r="AH85" s="9" t="s">
        <v>41</v>
      </c>
      <c r="AI85" s="70">
        <f>G87+G88</f>
        <v>0</v>
      </c>
      <c r="AJ85" s="70">
        <f>V87+V88</f>
        <v>0</v>
      </c>
      <c r="AK85" s="88">
        <f>IFERROR(AI85/AJ85,0)</f>
        <v>0</v>
      </c>
      <c r="AL85" s="26"/>
    </row>
    <row r="86" spans="3:38">
      <c r="C86" s="154" t="s">
        <v>348</v>
      </c>
      <c r="D86" s="316">
        <f>Y69</f>
        <v>0</v>
      </c>
      <c r="E86" s="317"/>
      <c r="F86" s="318"/>
      <c r="G86" s="153">
        <f>D86</f>
        <v>0</v>
      </c>
      <c r="H86" s="22">
        <f>IFERROR(G86/V86,1)</f>
        <v>1</v>
      </c>
      <c r="I86" s="368"/>
      <c r="J86" s="369"/>
      <c r="K86" s="369"/>
      <c r="L86" s="370"/>
      <c r="U86" s="196">
        <f>G86</f>
        <v>0</v>
      </c>
      <c r="V86" s="89">
        <f>X69</f>
        <v>0</v>
      </c>
      <c r="W86" s="90">
        <v>1.1000000000000001</v>
      </c>
      <c r="X86" s="90">
        <v>0.9</v>
      </c>
      <c r="Y86" s="90">
        <v>0</v>
      </c>
      <c r="Z86" s="86" t="s">
        <v>341</v>
      </c>
      <c r="AH86" s="9" t="s">
        <v>43</v>
      </c>
      <c r="AI86" s="70">
        <f>G91</f>
        <v>0</v>
      </c>
      <c r="AJ86" s="70">
        <f>V91</f>
        <v>0</v>
      </c>
      <c r="AK86" s="88">
        <f>IFERROR(AI86/AJ86,0)</f>
        <v>0</v>
      </c>
      <c r="AL86" s="26"/>
    </row>
    <row r="87" spans="3:38" ht="15" customHeight="1">
      <c r="C87" s="154" t="s">
        <v>349</v>
      </c>
      <c r="D87" s="316">
        <f>AE48</f>
        <v>0</v>
      </c>
      <c r="E87" s="317"/>
      <c r="F87" s="318"/>
      <c r="G87" s="153">
        <f t="shared" ref="G87:G93" si="15">D87+E87+F87</f>
        <v>0</v>
      </c>
      <c r="H87" s="402">
        <f>V87</f>
        <v>0</v>
      </c>
      <c r="I87" s="359"/>
      <c r="J87" s="360"/>
      <c r="K87" s="360"/>
      <c r="L87" s="361"/>
      <c r="U87" s="196">
        <f>G87+G88</f>
        <v>0</v>
      </c>
      <c r="V87" s="70">
        <f>(G87+G88)</f>
        <v>0</v>
      </c>
      <c r="W87" s="93" t="s">
        <v>350</v>
      </c>
      <c r="X87" s="93" t="s">
        <v>351</v>
      </c>
      <c r="Y87" s="93" t="s">
        <v>352</v>
      </c>
      <c r="Z87" s="86" t="s">
        <v>341</v>
      </c>
      <c r="AH87" s="26"/>
      <c r="AI87" s="70">
        <f>SUM(AI80:AI86)</f>
        <v>0</v>
      </c>
      <c r="AJ87" s="26"/>
      <c r="AK87" s="88"/>
      <c r="AL87" s="26"/>
    </row>
    <row r="88" spans="3:38" ht="15" customHeight="1">
      <c r="C88" s="154" t="s">
        <v>353</v>
      </c>
      <c r="D88" s="319">
        <f>AE58</f>
        <v>0</v>
      </c>
      <c r="E88" s="320"/>
      <c r="F88" s="321"/>
      <c r="G88" s="153">
        <f t="shared" si="15"/>
        <v>0</v>
      </c>
      <c r="H88" s="403"/>
      <c r="I88" s="365"/>
      <c r="J88" s="366"/>
      <c r="K88" s="366"/>
      <c r="L88" s="367"/>
      <c r="U88" s="196"/>
      <c r="V88" s="70"/>
      <c r="W88" s="93" t="s">
        <v>350</v>
      </c>
      <c r="X88" s="93" t="s">
        <v>351</v>
      </c>
      <c r="Y88" s="93" t="s">
        <v>352</v>
      </c>
      <c r="Z88" s="86" t="s">
        <v>341</v>
      </c>
    </row>
    <row r="89" spans="3:38">
      <c r="C89" s="107" t="str">
        <f>"B1-B5, Drift og vedlikehold, "&amp;'Generelt om prosjektet'!C24&amp;" år"</f>
        <v>B1-B5, Drift og vedlikehold, 50 år</v>
      </c>
      <c r="D89" s="140"/>
      <c r="E89" s="140"/>
      <c r="F89" s="140"/>
      <c r="G89" s="153">
        <f t="shared" si="15"/>
        <v>0</v>
      </c>
      <c r="H89" s="22">
        <f>IFERROR(G89/V89,1)</f>
        <v>1</v>
      </c>
      <c r="I89" s="368"/>
      <c r="J89" s="369"/>
      <c r="K89" s="369"/>
      <c r="L89" s="370"/>
      <c r="U89" s="196">
        <f>G89</f>
        <v>0</v>
      </c>
      <c r="V89" s="89">
        <f>(SUM(AQ19:AQ24)+SUM(AV19:AV24))/1000</f>
        <v>0</v>
      </c>
      <c r="W89" s="90">
        <v>1.1000000000000001</v>
      </c>
      <c r="X89" s="90">
        <v>0.9</v>
      </c>
      <c r="Y89" s="90">
        <v>0.1</v>
      </c>
      <c r="Z89" s="91">
        <v>0</v>
      </c>
    </row>
    <row r="90" spans="3:38">
      <c r="C90" s="107" t="str">
        <f>"B6: Energi i drift, "&amp;'Generelt om prosjektet'!C24&amp;" år"</f>
        <v>B6: Energi i drift, 50 år</v>
      </c>
      <c r="D90" s="319">
        <f>SUM(AF36:AF39)</f>
        <v>0</v>
      </c>
      <c r="E90" s="320"/>
      <c r="F90" s="321"/>
      <c r="G90" s="153">
        <f t="shared" si="15"/>
        <v>0</v>
      </c>
      <c r="H90" s="22">
        <f>IFERROR(G90/V90,1)</f>
        <v>1</v>
      </c>
      <c r="I90" s="359"/>
      <c r="J90" s="360"/>
      <c r="K90" s="360"/>
      <c r="L90" s="361"/>
      <c r="U90" s="196">
        <f>G90</f>
        <v>0</v>
      </c>
      <c r="V90" s="89">
        <f>AQ50</f>
        <v>0</v>
      </c>
      <c r="W90" s="90">
        <v>1.1000000000000001</v>
      </c>
      <c r="X90" s="90">
        <v>0.9</v>
      </c>
      <c r="Y90" s="90">
        <v>0.1</v>
      </c>
      <c r="Z90" s="91">
        <v>0</v>
      </c>
    </row>
    <row r="91" spans="3:38">
      <c r="C91" s="154" t="s">
        <v>354</v>
      </c>
      <c r="D91" s="156"/>
      <c r="E91" s="156"/>
      <c r="F91" s="156"/>
      <c r="G91" s="153">
        <f t="shared" si="15"/>
        <v>0</v>
      </c>
      <c r="H91" s="22">
        <f>IFERROR(G91/V91,1)</f>
        <v>1</v>
      </c>
      <c r="I91" s="359"/>
      <c r="J91" s="360"/>
      <c r="K91" s="360"/>
      <c r="L91" s="361"/>
      <c r="U91" s="196">
        <f>G91</f>
        <v>0</v>
      </c>
      <c r="V91" s="89">
        <f>(SUM(AR19:AR25)+SUM(AW19:AW25))/1000</f>
        <v>0</v>
      </c>
      <c r="W91" s="90">
        <v>1.1000000000000001</v>
      </c>
      <c r="X91" s="90">
        <v>0.9</v>
      </c>
      <c r="Y91" s="90">
        <v>0.4</v>
      </c>
      <c r="Z91" s="91">
        <v>0</v>
      </c>
    </row>
    <row r="92" spans="3:38">
      <c r="C92" s="154" t="s">
        <v>355</v>
      </c>
      <c r="D92" s="152">
        <f>IF(E44=Nei,AF40,0)</f>
        <v>0</v>
      </c>
      <c r="E92" s="152"/>
      <c r="F92" s="152"/>
      <c r="G92" s="153">
        <f t="shared" si="15"/>
        <v>0</v>
      </c>
      <c r="H92" s="157" t="s">
        <v>341</v>
      </c>
      <c r="I92" s="359"/>
      <c r="J92" s="360"/>
      <c r="K92" s="360"/>
      <c r="L92" s="361"/>
      <c r="U92" s="196"/>
      <c r="V92" s="92"/>
      <c r="W92" s="94"/>
      <c r="X92" s="94"/>
      <c r="Y92" s="94"/>
    </row>
    <row r="93" spans="3:38">
      <c r="C93" s="172" t="s">
        <v>356</v>
      </c>
      <c r="D93" s="165">
        <f>SUM(D80:D92)</f>
        <v>0</v>
      </c>
      <c r="E93" s="165">
        <f>SUM(E80:E92)</f>
        <v>0</v>
      </c>
      <c r="F93" s="165">
        <f>SUM(F80:F92)</f>
        <v>0</v>
      </c>
      <c r="G93" s="165">
        <f t="shared" si="15"/>
        <v>0</v>
      </c>
      <c r="H93" s="210">
        <f>IFERROR(U93/V93,0)</f>
        <v>0</v>
      </c>
      <c r="I93" s="394"/>
      <c r="J93" s="395"/>
      <c r="K93" s="395"/>
      <c r="L93" s="396"/>
      <c r="U93" s="75">
        <f>SUM(U80:U92)</f>
        <v>0</v>
      </c>
      <c r="V93" s="75">
        <f>SUM(V80:V92)</f>
        <v>0</v>
      </c>
    </row>
    <row r="94" spans="3:38">
      <c r="C94" s="109"/>
      <c r="D94" s="109"/>
      <c r="E94" s="109"/>
      <c r="F94" s="109"/>
      <c r="G94" s="109"/>
      <c r="H94" s="109"/>
      <c r="I94" s="109"/>
      <c r="J94" s="109"/>
      <c r="K94" s="109"/>
      <c r="L94" s="109"/>
    </row>
    <row r="95" spans="3:38">
      <c r="C95" s="109"/>
      <c r="D95" s="109"/>
      <c r="E95" s="109"/>
      <c r="F95" s="109"/>
      <c r="G95" s="109"/>
      <c r="H95" s="109"/>
      <c r="I95" s="109"/>
      <c r="J95" s="109"/>
      <c r="K95" s="109"/>
      <c r="L95" s="109"/>
    </row>
    <row r="96" spans="3:38">
      <c r="C96" s="391" t="s">
        <v>357</v>
      </c>
      <c r="D96" s="363" t="str">
        <f>D78</f>
        <v>Tonn CO2 ekv, GWP. Klimagassutslippene er oppgit uten hensyn til binding av biogent karbon.</v>
      </c>
      <c r="E96" s="364"/>
      <c r="F96" s="364"/>
      <c r="G96" s="364"/>
      <c r="H96" s="393"/>
      <c r="I96" s="142" t="s">
        <v>90</v>
      </c>
      <c r="J96" s="158"/>
      <c r="K96" s="143"/>
      <c r="L96" s="144"/>
    </row>
    <row r="97" spans="3:24" ht="30" customHeight="1">
      <c r="C97" s="392"/>
      <c r="D97" s="145" t="s">
        <v>332</v>
      </c>
      <c r="E97" s="146" t="s">
        <v>156</v>
      </c>
      <c r="F97" s="146" t="s">
        <v>157</v>
      </c>
      <c r="G97" s="312" t="s">
        <v>183</v>
      </c>
      <c r="H97" s="313"/>
      <c r="I97" s="148"/>
      <c r="J97" s="159"/>
      <c r="K97" s="149"/>
      <c r="L97" s="150"/>
    </row>
    <row r="98" spans="3:24">
      <c r="C98" s="154" t="s">
        <v>358</v>
      </c>
      <c r="D98" s="322"/>
      <c r="E98" s="323"/>
      <c r="F98" s="152"/>
      <c r="G98" s="314">
        <f>D98</f>
        <v>0</v>
      </c>
      <c r="H98" s="315"/>
      <c r="I98" s="322"/>
      <c r="J98" s="379"/>
      <c r="K98" s="379"/>
      <c r="L98" s="323"/>
    </row>
    <row r="99" spans="3:24" ht="30" customHeight="1">
      <c r="C99" s="107" t="s">
        <v>46</v>
      </c>
      <c r="D99" s="310" t="str">
        <f ca="1">IF(AX32&gt;0,"Beregnet med "&amp;AX32&amp;" års 'restlevetid' til beregningsperioden på "&amp;'Generelt om prosjektet'!C24&amp;" år","")</f>
        <v/>
      </c>
      <c r="E99" s="311"/>
      <c r="F99" s="160">
        <f ca="1">SUM(AX33:BA33)/1000</f>
        <v>0</v>
      </c>
      <c r="G99" s="314">
        <f ca="1">F99</f>
        <v>0</v>
      </c>
      <c r="H99" s="315"/>
      <c r="I99" s="322"/>
      <c r="J99" s="379"/>
      <c r="K99" s="379"/>
      <c r="L99" s="323"/>
      <c r="V99" s="2"/>
    </row>
    <row r="100" spans="3:24">
      <c r="C100" s="420" t="s">
        <v>582</v>
      </c>
      <c r="D100" s="381"/>
      <c r="E100" s="381"/>
      <c r="F100" s="381"/>
      <c r="G100" s="381"/>
      <c r="H100" s="381"/>
      <c r="I100" s="381"/>
      <c r="J100" s="381"/>
      <c r="K100" s="381"/>
      <c r="L100" s="382"/>
    </row>
    <row r="101" spans="3:24">
      <c r="C101" s="383"/>
      <c r="D101" s="384"/>
      <c r="E101" s="384"/>
      <c r="F101" s="384"/>
      <c r="G101" s="384"/>
      <c r="H101" s="384"/>
      <c r="I101" s="384"/>
      <c r="J101" s="384"/>
      <c r="K101" s="384"/>
      <c r="L101" s="385"/>
    </row>
    <row r="102" spans="3:24">
      <c r="C102" s="383"/>
      <c r="D102" s="384"/>
      <c r="E102" s="384"/>
      <c r="F102" s="384"/>
      <c r="G102" s="384"/>
      <c r="H102" s="384"/>
      <c r="I102" s="384"/>
      <c r="J102" s="384"/>
      <c r="K102" s="384"/>
      <c r="L102" s="385"/>
    </row>
    <row r="103" spans="3:24">
      <c r="C103" s="386"/>
      <c r="D103" s="387"/>
      <c r="E103" s="387"/>
      <c r="F103" s="387"/>
      <c r="G103" s="387"/>
      <c r="H103" s="387"/>
      <c r="I103" s="387"/>
      <c r="J103" s="387"/>
      <c r="K103" s="387"/>
      <c r="L103" s="388"/>
    </row>
    <row r="107" spans="3:24" ht="24.9">
      <c r="C107" s="23" t="str">
        <f>"Alternativ 2: Resultat. B6: Energi i drift, "&amp;'Generelt om prosjektet'!C24&amp;" år, ulike utslippsfaktorer for energi"</f>
        <v>Alternativ 2: Resultat. B6: Energi i drift, 50 år, ulike utslippsfaktorer for energi</v>
      </c>
    </row>
    <row r="108" spans="3:24">
      <c r="C108" s="109"/>
      <c r="D108" s="109"/>
      <c r="E108" s="109"/>
      <c r="F108" s="109"/>
      <c r="G108" s="109"/>
      <c r="H108" s="109"/>
      <c r="I108" s="109"/>
    </row>
    <row r="109" spans="3:24">
      <c r="C109" s="109"/>
      <c r="D109" s="287" t="s">
        <v>359</v>
      </c>
      <c r="E109" s="287"/>
      <c r="F109" s="287"/>
      <c r="G109" s="109"/>
      <c r="H109" s="109"/>
      <c r="I109" s="109"/>
    </row>
    <row r="110" spans="3:24" ht="24.9">
      <c r="C110" s="118" t="s">
        <v>360</v>
      </c>
      <c r="D110" s="118" t="s">
        <v>361</v>
      </c>
      <c r="E110" s="118" t="s">
        <v>362</v>
      </c>
      <c r="F110" s="118" t="s">
        <v>363</v>
      </c>
      <c r="G110" s="161" t="str">
        <f>"Beregnet utslipp over "&amp;'Generelt om prosjektet'!C24&amp;" år"</f>
        <v>Beregnet utslipp over 50 år</v>
      </c>
      <c r="H110" s="145" t="s">
        <v>164</v>
      </c>
      <c r="I110" s="109"/>
    </row>
    <row r="111" spans="3:24">
      <c r="C111" s="107" t="s">
        <v>364</v>
      </c>
      <c r="D111" s="162">
        <f>Utslippsdata!C77</f>
        <v>1.7747665114285747E-2</v>
      </c>
      <c r="E111" s="162">
        <f>Utslippsdata!C83</f>
        <v>1.4693376033679371E-2</v>
      </c>
      <c r="F111" s="107">
        <f>E37</f>
        <v>0</v>
      </c>
      <c r="G111" s="153">
        <f>(($W$111+$W$114)*D111+$W$112*E111+$W$113*F111)*$W$115/1000</f>
        <v>0</v>
      </c>
      <c r="H111" s="107" t="s">
        <v>365</v>
      </c>
      <c r="I111" s="109"/>
      <c r="V111" s="26" t="s">
        <v>361</v>
      </c>
      <c r="W111" s="70">
        <f>E34</f>
        <v>0</v>
      </c>
      <c r="X111" s="26" t="s">
        <v>366</v>
      </c>
    </row>
    <row r="112" spans="3:24">
      <c r="C112" s="107" t="s">
        <v>367</v>
      </c>
      <c r="D112" s="162">
        <f>Utslippsdata!C76</f>
        <v>0.10462896495714274</v>
      </c>
      <c r="E112" s="162">
        <f>Utslippsdata!C80</f>
        <v>3.8751119274583641E-2</v>
      </c>
      <c r="F112" s="107">
        <f>E37</f>
        <v>0</v>
      </c>
      <c r="G112" s="153">
        <f>(($W$111+$W$114)*D112+$W$112*E112+$W$113*F112)*$W$115/1000</f>
        <v>0</v>
      </c>
      <c r="H112" s="107" t="s">
        <v>365</v>
      </c>
      <c r="I112" s="109"/>
      <c r="V112" s="26" t="s">
        <v>368</v>
      </c>
      <c r="W112" s="70">
        <f>E35</f>
        <v>0</v>
      </c>
      <c r="X112" s="26" t="s">
        <v>366</v>
      </c>
    </row>
    <row r="113" spans="3:27">
      <c r="C113" s="109"/>
      <c r="D113" s="109"/>
      <c r="E113" s="109"/>
      <c r="F113" s="109"/>
      <c r="G113" s="109"/>
      <c r="H113" s="109"/>
      <c r="I113" s="109"/>
      <c r="V113" s="26" t="s">
        <v>369</v>
      </c>
      <c r="W113" s="70">
        <f>E36</f>
        <v>0</v>
      </c>
      <c r="X113" s="26" t="s">
        <v>366</v>
      </c>
    </row>
    <row r="114" spans="3:27">
      <c r="C114" s="109"/>
      <c r="D114" s="287" t="s">
        <v>359</v>
      </c>
      <c r="E114" s="287"/>
      <c r="F114" s="287"/>
      <c r="G114" s="109"/>
      <c r="H114" s="109"/>
      <c r="I114" s="109"/>
      <c r="V114" s="26" t="s">
        <v>370</v>
      </c>
      <c r="W114" s="70">
        <f>E39</f>
        <v>0</v>
      </c>
      <c r="X114" s="26" t="s">
        <v>366</v>
      </c>
    </row>
    <row r="115" spans="3:27" ht="36.9">
      <c r="C115" s="146" t="s">
        <v>371</v>
      </c>
      <c r="D115" s="118" t="s">
        <v>361</v>
      </c>
      <c r="E115" s="118" t="s">
        <v>362</v>
      </c>
      <c r="F115" s="118" t="s">
        <v>363</v>
      </c>
      <c r="G115" s="161" t="str">
        <f>"Beregnet utslipp over "&amp;'Generelt om prosjektet'!C29&amp;" år"</f>
        <v>Beregnet utslipp over  år</v>
      </c>
      <c r="H115" s="145" t="s">
        <v>164</v>
      </c>
      <c r="I115" s="109"/>
      <c r="V115" s="26" t="s">
        <v>372</v>
      </c>
      <c r="W115" s="26">
        <f>'Generelt om prosjektet'!C24</f>
        <v>50</v>
      </c>
      <c r="X115" s="26"/>
    </row>
    <row r="116" spans="3:27">
      <c r="C116" s="107" t="s">
        <v>364</v>
      </c>
      <c r="D116" s="162">
        <f>D111</f>
        <v>1.7747665114285747E-2</v>
      </c>
      <c r="E116" s="162">
        <f>Utslippsdata!C84</f>
        <v>6.5088487419817986E-2</v>
      </c>
      <c r="F116" s="107">
        <f>E37</f>
        <v>0</v>
      </c>
      <c r="G116" s="153">
        <f>(($W$111+$W$114)*D116+$W$112*E116+$W$113*F116)*$W$115/1000</f>
        <v>0</v>
      </c>
      <c r="H116" s="107" t="s">
        <v>365</v>
      </c>
      <c r="I116" s="109"/>
    </row>
    <row r="117" spans="3:27">
      <c r="C117" s="163" t="s">
        <v>373</v>
      </c>
      <c r="D117" s="164">
        <f>D112</f>
        <v>0.10462896495714274</v>
      </c>
      <c r="E117" s="164">
        <f>Utslippsdata!C81</f>
        <v>8.9146230660722248E-2</v>
      </c>
      <c r="F117" s="163">
        <f>E37</f>
        <v>0</v>
      </c>
      <c r="G117" s="165">
        <f>(($W$111+$W$114)*D117+$W$112*E117+$W$113*F117)*$W$115/1000</f>
        <v>0</v>
      </c>
      <c r="H117" s="163" t="s">
        <v>365</v>
      </c>
      <c r="I117" s="109"/>
    </row>
    <row r="118" spans="3:27">
      <c r="C118" s="109"/>
      <c r="D118" s="109"/>
      <c r="E118" s="109"/>
      <c r="F118" s="109"/>
      <c r="G118" s="109"/>
      <c r="H118" s="109"/>
      <c r="I118" s="109"/>
    </row>
    <row r="119" spans="3:27">
      <c r="C119" s="109"/>
      <c r="D119" s="109"/>
      <c r="E119" s="109"/>
      <c r="F119" s="109"/>
      <c r="G119" s="109"/>
      <c r="H119" s="109"/>
      <c r="I119" s="109"/>
    </row>
    <row r="122" spans="3:27" ht="15" customHeight="1"/>
    <row r="123" spans="3:27" ht="15" customHeight="1"/>
    <row r="124" spans="3:27" ht="15" customHeight="1"/>
    <row r="125" spans="3:27">
      <c r="AA125" s="26" t="s">
        <v>268</v>
      </c>
    </row>
    <row r="126" spans="3:27">
      <c r="AA126" s="26" t="s">
        <v>260</v>
      </c>
    </row>
    <row r="127" spans="3:27" ht="27">
      <c r="C127" s="24" t="s">
        <v>423</v>
      </c>
      <c r="D127" s="68"/>
    </row>
    <row r="128" spans="3:27" ht="15" customHeight="1">
      <c r="C128" s="273" t="s">
        <v>375</v>
      </c>
      <c r="D128" s="274" t="s">
        <v>260</v>
      </c>
    </row>
    <row r="130" spans="3:50" ht="14.4" thickBot="1">
      <c r="C130" s="95" t="s">
        <v>376</v>
      </c>
    </row>
    <row r="131" spans="3:50" ht="110.4">
      <c r="C131" s="82" t="s">
        <v>377</v>
      </c>
      <c r="D131" s="83" t="s">
        <v>339</v>
      </c>
      <c r="E131" s="83" t="s">
        <v>378</v>
      </c>
      <c r="F131" s="83" t="s">
        <v>379</v>
      </c>
      <c r="G131" s="83" t="s">
        <v>168</v>
      </c>
      <c r="H131" s="83" t="s">
        <v>346</v>
      </c>
      <c r="I131" s="83" t="s">
        <v>347</v>
      </c>
      <c r="J131" s="83" t="s">
        <v>348</v>
      </c>
      <c r="K131" s="83" t="s">
        <v>349</v>
      </c>
      <c r="L131" s="83" t="s">
        <v>353</v>
      </c>
      <c r="M131" s="83" t="s">
        <v>380</v>
      </c>
      <c r="N131" s="83" t="s">
        <v>381</v>
      </c>
      <c r="O131" s="83" t="s">
        <v>358</v>
      </c>
      <c r="P131" s="83" t="s">
        <v>171</v>
      </c>
      <c r="Q131" s="83" t="s">
        <v>382</v>
      </c>
      <c r="R131" s="168" t="s">
        <v>383</v>
      </c>
      <c r="S131" s="168" t="s">
        <v>383</v>
      </c>
      <c r="T131" s="168" t="s">
        <v>383</v>
      </c>
      <c r="U131" s="166"/>
      <c r="AK131" s="96">
        <v>1</v>
      </c>
      <c r="AL131" s="97">
        <v>2</v>
      </c>
      <c r="AM131" s="97">
        <v>3</v>
      </c>
      <c r="AN131" s="97">
        <v>4</v>
      </c>
      <c r="AO131" s="97">
        <v>5</v>
      </c>
      <c r="AP131" s="97">
        <v>6</v>
      </c>
      <c r="AQ131" s="97">
        <v>7</v>
      </c>
      <c r="AR131" s="97">
        <v>8</v>
      </c>
      <c r="AS131" s="97">
        <v>9</v>
      </c>
      <c r="AT131" s="97">
        <v>10</v>
      </c>
      <c r="AU131" s="97">
        <v>11</v>
      </c>
      <c r="AV131" s="97">
        <v>12</v>
      </c>
      <c r="AW131" s="97">
        <v>13</v>
      </c>
      <c r="AX131" s="98"/>
    </row>
    <row r="132" spans="3:50">
      <c r="C132" s="26" t="s">
        <v>384</v>
      </c>
      <c r="D132" s="169"/>
      <c r="E132" s="169"/>
      <c r="F132" s="169"/>
      <c r="G132" s="169"/>
      <c r="H132" s="169"/>
      <c r="I132" s="169"/>
      <c r="J132" s="169"/>
      <c r="K132" s="169"/>
      <c r="L132" s="169"/>
      <c r="M132" s="169"/>
      <c r="N132" s="169"/>
      <c r="O132" s="169"/>
      <c r="P132" s="169"/>
      <c r="Q132" s="169"/>
      <c r="R132" s="169"/>
      <c r="S132" s="169"/>
      <c r="T132" s="169"/>
      <c r="U132" s="166"/>
      <c r="AK132" s="99" t="s">
        <v>385</v>
      </c>
      <c r="AL132" s="25" t="s">
        <v>386</v>
      </c>
      <c r="AM132" s="25" t="s">
        <v>159</v>
      </c>
      <c r="AN132" s="25" t="s">
        <v>4</v>
      </c>
      <c r="AO132" s="25" t="s">
        <v>164</v>
      </c>
      <c r="AW132" s="25" t="s">
        <v>387</v>
      </c>
      <c r="AX132" s="100"/>
    </row>
    <row r="133" spans="3:50" ht="14.1">
      <c r="C133" s="26" t="s">
        <v>388</v>
      </c>
      <c r="D133" s="169"/>
      <c r="E133" s="169"/>
      <c r="F133" s="169"/>
      <c r="G133" s="169"/>
      <c r="H133" s="169"/>
      <c r="I133" s="169"/>
      <c r="J133" s="169"/>
      <c r="K133" s="169"/>
      <c r="L133" s="169"/>
      <c r="M133" s="169"/>
      <c r="N133" s="169"/>
      <c r="O133" s="169"/>
      <c r="P133" s="169"/>
      <c r="Q133" s="169"/>
      <c r="R133" s="169"/>
      <c r="S133" s="169"/>
      <c r="T133" s="169"/>
      <c r="U133" s="166"/>
      <c r="AK133" s="101" t="s">
        <v>173</v>
      </c>
      <c r="AL133" s="26"/>
      <c r="AM133" s="26"/>
      <c r="AN133" s="26"/>
      <c r="AW133" s="95" t="s">
        <v>389</v>
      </c>
      <c r="AX133" s="100"/>
    </row>
    <row r="134" spans="3:50">
      <c r="C134" s="26" t="s">
        <v>390</v>
      </c>
      <c r="D134" s="37"/>
      <c r="E134" s="37"/>
      <c r="F134" s="37"/>
      <c r="G134" s="37"/>
      <c r="H134" s="37"/>
      <c r="I134" s="37"/>
      <c r="J134" s="37"/>
      <c r="K134" s="37"/>
      <c r="L134" s="37"/>
      <c r="M134" s="37"/>
      <c r="N134" s="37"/>
      <c r="O134" s="37"/>
      <c r="P134" s="37"/>
      <c r="Q134" s="37"/>
      <c r="R134" s="37"/>
      <c r="S134" s="37"/>
      <c r="T134" s="37"/>
      <c r="AK134" s="101" t="s">
        <v>249</v>
      </c>
      <c r="AL134" s="26" t="s">
        <v>249</v>
      </c>
      <c r="AM134" s="26" t="s">
        <v>391</v>
      </c>
      <c r="AN134" s="26" t="s">
        <v>205</v>
      </c>
      <c r="AO134" s="58" t="s">
        <v>301</v>
      </c>
      <c r="AW134" s="26" t="s">
        <v>249</v>
      </c>
      <c r="AX134" s="100"/>
    </row>
    <row r="135" spans="3:50">
      <c r="C135" s="26" t="s">
        <v>392</v>
      </c>
      <c r="D135" s="37"/>
      <c r="E135" s="37"/>
      <c r="F135" s="37"/>
      <c r="G135" s="37"/>
      <c r="H135" s="37"/>
      <c r="I135" s="37"/>
      <c r="J135" s="37"/>
      <c r="K135" s="37"/>
      <c r="L135" s="37"/>
      <c r="M135" s="37"/>
      <c r="N135" s="37"/>
      <c r="O135" s="37"/>
      <c r="P135" s="37"/>
      <c r="Q135" s="37"/>
      <c r="R135" s="37"/>
      <c r="S135" s="37"/>
      <c r="T135" s="37"/>
      <c r="AK135" s="101" t="s">
        <v>239</v>
      </c>
      <c r="AL135" s="26" t="s">
        <v>239</v>
      </c>
      <c r="AM135" s="26" t="s">
        <v>393</v>
      </c>
      <c r="AN135" s="26" t="s">
        <v>209</v>
      </c>
      <c r="AO135" s="58" t="s">
        <v>301</v>
      </c>
      <c r="AR135" s="48" t="s">
        <v>394</v>
      </c>
      <c r="AW135" s="26" t="s">
        <v>239</v>
      </c>
      <c r="AX135" s="100"/>
    </row>
    <row r="136" spans="3:50">
      <c r="C136" s="26" t="s">
        <v>395</v>
      </c>
      <c r="D136" s="37"/>
      <c r="E136" s="37"/>
      <c r="F136" s="37"/>
      <c r="G136" s="37"/>
      <c r="H136" s="37"/>
      <c r="I136" s="37"/>
      <c r="J136" s="37"/>
      <c r="K136" s="37"/>
      <c r="L136" s="37"/>
      <c r="M136" s="37"/>
      <c r="N136" s="37"/>
      <c r="O136" s="37"/>
      <c r="P136" s="37"/>
      <c r="Q136" s="37"/>
      <c r="R136" s="37"/>
      <c r="S136" s="37"/>
      <c r="T136" s="37"/>
      <c r="AK136" s="101" t="s">
        <v>253</v>
      </c>
      <c r="AL136" s="26" t="s">
        <v>253</v>
      </c>
      <c r="AM136" s="26" t="s">
        <v>396</v>
      </c>
      <c r="AN136" s="26" t="s">
        <v>213</v>
      </c>
      <c r="AO136" s="58" t="s">
        <v>301</v>
      </c>
      <c r="AW136" s="26" t="s">
        <v>253</v>
      </c>
      <c r="AX136" s="100"/>
    </row>
    <row r="137" spans="3:50">
      <c r="C137" s="26" t="s">
        <v>397</v>
      </c>
      <c r="D137" s="37"/>
      <c r="E137" s="37"/>
      <c r="F137" s="37"/>
      <c r="G137" s="37"/>
      <c r="H137" s="37"/>
      <c r="I137" s="37"/>
      <c r="J137" s="37"/>
      <c r="K137" s="37"/>
      <c r="L137" s="37"/>
      <c r="M137" s="37"/>
      <c r="N137" s="37"/>
      <c r="O137" s="37"/>
      <c r="P137" s="37"/>
      <c r="Q137" s="37"/>
      <c r="R137" s="37"/>
      <c r="S137" s="37"/>
      <c r="T137" s="37"/>
      <c r="AK137" s="101" t="s">
        <v>270</v>
      </c>
      <c r="AL137" s="26" t="s">
        <v>270</v>
      </c>
      <c r="AM137" s="26" t="s">
        <v>398</v>
      </c>
      <c r="AN137" s="26" t="s">
        <v>219</v>
      </c>
      <c r="AO137" s="58"/>
      <c r="AQ137" s="25" t="s">
        <v>399</v>
      </c>
      <c r="AR137" s="25" t="s">
        <v>400</v>
      </c>
      <c r="AS137" s="25" t="s">
        <v>400</v>
      </c>
      <c r="AW137" s="26" t="s">
        <v>270</v>
      </c>
      <c r="AX137" s="100"/>
    </row>
    <row r="138" spans="3:50">
      <c r="C138" s="26" t="s">
        <v>401</v>
      </c>
      <c r="D138" s="37"/>
      <c r="E138" s="37"/>
      <c r="F138" s="37"/>
      <c r="G138" s="37"/>
      <c r="H138" s="37"/>
      <c r="I138" s="37"/>
      <c r="J138" s="37"/>
      <c r="K138" s="37"/>
      <c r="L138" s="37"/>
      <c r="M138" s="37"/>
      <c r="N138" s="37"/>
      <c r="O138" s="37"/>
      <c r="P138" s="37"/>
      <c r="Q138" s="37"/>
      <c r="R138" s="37"/>
      <c r="S138" s="37"/>
      <c r="T138" s="37"/>
      <c r="AK138" s="101" t="s">
        <v>258</v>
      </c>
      <c r="AL138" s="26" t="s">
        <v>258</v>
      </c>
      <c r="AM138" s="26" t="s">
        <v>402</v>
      </c>
      <c r="AN138" s="26" t="s">
        <v>230</v>
      </c>
      <c r="AO138" s="58" t="s">
        <v>301</v>
      </c>
      <c r="AW138" s="26" t="s">
        <v>258</v>
      </c>
      <c r="AX138" s="100"/>
    </row>
    <row r="139" spans="3:50">
      <c r="C139" s="26" t="s">
        <v>403</v>
      </c>
      <c r="D139" s="37"/>
      <c r="E139" s="37"/>
      <c r="F139" s="37"/>
      <c r="G139" s="37"/>
      <c r="H139" s="37"/>
      <c r="I139" s="37"/>
      <c r="J139" s="37"/>
      <c r="K139" s="37"/>
      <c r="L139" s="37"/>
      <c r="M139" s="37"/>
      <c r="N139" s="37"/>
      <c r="O139" s="37"/>
      <c r="P139" s="37"/>
      <c r="Q139" s="37"/>
      <c r="R139" s="37"/>
      <c r="S139" s="37"/>
      <c r="T139" s="37"/>
      <c r="AK139" s="101" t="s">
        <v>232</v>
      </c>
      <c r="AL139" s="26" t="s">
        <v>404</v>
      </c>
      <c r="AM139" s="26" t="s">
        <v>405</v>
      </c>
      <c r="AN139" s="26" t="s">
        <v>237</v>
      </c>
      <c r="AO139" s="58" t="s">
        <v>301</v>
      </c>
      <c r="AW139" s="26" t="s">
        <v>404</v>
      </c>
      <c r="AX139" s="100"/>
    </row>
    <row r="140" spans="3:50">
      <c r="C140" s="167" t="s">
        <v>383</v>
      </c>
      <c r="D140" s="37"/>
      <c r="E140" s="37"/>
      <c r="F140" s="37"/>
      <c r="G140" s="37"/>
      <c r="H140" s="37"/>
      <c r="I140" s="37"/>
      <c r="J140" s="37"/>
      <c r="K140" s="37"/>
      <c r="L140" s="37"/>
      <c r="M140" s="37"/>
      <c r="N140" s="37"/>
      <c r="O140" s="37"/>
      <c r="P140" s="37"/>
      <c r="Q140" s="37"/>
      <c r="R140" s="37"/>
      <c r="S140" s="37"/>
      <c r="T140" s="37"/>
      <c r="AK140" s="101" t="s">
        <v>244</v>
      </c>
      <c r="AL140" s="26"/>
      <c r="AM140" s="26" t="s">
        <v>406</v>
      </c>
      <c r="AN140" s="26" t="s">
        <v>242</v>
      </c>
      <c r="AO140" s="58" t="s">
        <v>301</v>
      </c>
      <c r="AW140" s="102" t="s">
        <v>239</v>
      </c>
      <c r="AX140" s="100"/>
    </row>
    <row r="141" spans="3:50">
      <c r="C141" s="167" t="s">
        <v>383</v>
      </c>
      <c r="D141" s="37"/>
      <c r="E141" s="37"/>
      <c r="F141" s="37"/>
      <c r="G141" s="37"/>
      <c r="H141" s="37"/>
      <c r="I141" s="37"/>
      <c r="J141" s="37"/>
      <c r="K141" s="37"/>
      <c r="L141" s="37"/>
      <c r="M141" s="37"/>
      <c r="N141" s="37"/>
      <c r="O141" s="37"/>
      <c r="P141" s="37"/>
      <c r="Q141" s="37"/>
      <c r="R141" s="37"/>
      <c r="S141" s="37"/>
      <c r="T141" s="37"/>
      <c r="AK141" s="101" t="s">
        <v>271</v>
      </c>
      <c r="AL141" s="26"/>
      <c r="AM141" s="26" t="s">
        <v>407</v>
      </c>
      <c r="AN141" s="26" t="s">
        <v>247</v>
      </c>
      <c r="AO141" s="58" t="s">
        <v>301</v>
      </c>
      <c r="AX141" s="100"/>
    </row>
    <row r="142" spans="3:50">
      <c r="C142" s="167" t="s">
        <v>383</v>
      </c>
      <c r="D142" s="37"/>
      <c r="E142" s="37"/>
      <c r="F142" s="37"/>
      <c r="G142" s="37"/>
      <c r="H142" s="37"/>
      <c r="I142" s="37"/>
      <c r="J142" s="37"/>
      <c r="K142" s="37"/>
      <c r="L142" s="37"/>
      <c r="M142" s="37"/>
      <c r="N142" s="37"/>
      <c r="O142" s="37"/>
      <c r="P142" s="37"/>
      <c r="Q142" s="37"/>
      <c r="R142" s="37"/>
      <c r="S142" s="37"/>
      <c r="T142" s="37"/>
      <c r="AK142" s="101" t="s">
        <v>263</v>
      </c>
      <c r="AL142" s="26"/>
      <c r="AM142" s="26" t="s">
        <v>408</v>
      </c>
      <c r="AN142" s="26" t="s">
        <v>251</v>
      </c>
      <c r="AO142" s="58" t="s">
        <v>301</v>
      </c>
      <c r="AW142" s="26" t="s">
        <v>239</v>
      </c>
      <c r="AX142" s="100"/>
    </row>
    <row r="143" spans="3:50" ht="14.1">
      <c r="C143" s="197" t="s">
        <v>409</v>
      </c>
      <c r="D143" s="197">
        <f t="shared" ref="D143:T143" si="16">SUM(D132:D142)</f>
        <v>0</v>
      </c>
      <c r="E143" s="197">
        <f t="shared" si="16"/>
        <v>0</v>
      </c>
      <c r="F143" s="197">
        <f t="shared" si="16"/>
        <v>0</v>
      </c>
      <c r="G143" s="197">
        <f t="shared" si="16"/>
        <v>0</v>
      </c>
      <c r="H143" s="197">
        <f t="shared" si="16"/>
        <v>0</v>
      </c>
      <c r="I143" s="197">
        <f t="shared" si="16"/>
        <v>0</v>
      </c>
      <c r="J143" s="197">
        <f t="shared" si="16"/>
        <v>0</v>
      </c>
      <c r="K143" s="197">
        <f t="shared" si="16"/>
        <v>0</v>
      </c>
      <c r="L143" s="197">
        <f t="shared" si="16"/>
        <v>0</v>
      </c>
      <c r="M143" s="197">
        <f t="shared" si="16"/>
        <v>0</v>
      </c>
      <c r="N143" s="197">
        <f t="shared" si="16"/>
        <v>0</v>
      </c>
      <c r="O143" s="197">
        <f t="shared" si="16"/>
        <v>0</v>
      </c>
      <c r="P143" s="197">
        <f t="shared" si="16"/>
        <v>0</v>
      </c>
      <c r="Q143" s="197">
        <f t="shared" si="16"/>
        <v>0</v>
      </c>
      <c r="R143" s="197">
        <f t="shared" si="16"/>
        <v>0</v>
      </c>
      <c r="S143" s="197">
        <f t="shared" si="16"/>
        <v>0</v>
      </c>
      <c r="T143" s="197">
        <f t="shared" si="16"/>
        <v>0</v>
      </c>
      <c r="AK143" s="101" t="s">
        <v>267</v>
      </c>
      <c r="AL143" s="26" t="s">
        <v>410</v>
      </c>
      <c r="AM143" s="26" t="s">
        <v>411</v>
      </c>
      <c r="AN143" s="26" t="s">
        <v>219</v>
      </c>
      <c r="AO143" s="58"/>
      <c r="AQ143" s="25" t="s">
        <v>399</v>
      </c>
      <c r="AR143" s="25" t="s">
        <v>400</v>
      </c>
      <c r="AW143" s="26" t="s">
        <v>410</v>
      </c>
      <c r="AX143" s="100"/>
    </row>
    <row r="144" spans="3:50">
      <c r="I144" s="48"/>
      <c r="AK144" s="101" t="s">
        <v>277</v>
      </c>
      <c r="AL144" s="26" t="s">
        <v>410</v>
      </c>
      <c r="AM144" s="26" t="s">
        <v>412</v>
      </c>
      <c r="AN144" s="26" t="s">
        <v>219</v>
      </c>
      <c r="AO144" s="58"/>
      <c r="AQ144" s="25" t="s">
        <v>399</v>
      </c>
      <c r="AR144" s="25" t="s">
        <v>400</v>
      </c>
      <c r="AW144" s="26" t="s">
        <v>410</v>
      </c>
      <c r="AX144" s="100"/>
    </row>
    <row r="145" spans="3:50">
      <c r="AK145" s="101" t="s">
        <v>413</v>
      </c>
      <c r="AL145" s="26"/>
      <c r="AM145" s="26" t="s">
        <v>414</v>
      </c>
      <c r="AN145" s="26" t="s">
        <v>219</v>
      </c>
      <c r="AO145" s="58"/>
      <c r="AQ145" s="25" t="s">
        <v>399</v>
      </c>
      <c r="AR145" s="25" t="s">
        <v>400</v>
      </c>
      <c r="AW145" s="25" t="s">
        <v>415</v>
      </c>
      <c r="AX145" s="100"/>
    </row>
    <row r="146" spans="3:50" ht="14.1">
      <c r="C146" s="95" t="s">
        <v>416</v>
      </c>
      <c r="AK146" s="99"/>
      <c r="AX146" s="100"/>
    </row>
    <row r="147" spans="3:50" ht="110.4">
      <c r="C147" s="30" t="s">
        <v>377</v>
      </c>
      <c r="D147" s="83" t="s">
        <v>339</v>
      </c>
      <c r="E147" s="83" t="s">
        <v>378</v>
      </c>
      <c r="F147" s="83" t="s">
        <v>379</v>
      </c>
      <c r="G147" s="83" t="s">
        <v>168</v>
      </c>
      <c r="H147" s="83" t="s">
        <v>346</v>
      </c>
      <c r="I147" s="83" t="s">
        <v>347</v>
      </c>
      <c r="J147" s="83" t="s">
        <v>348</v>
      </c>
      <c r="K147" s="83" t="s">
        <v>349</v>
      </c>
      <c r="L147" s="83" t="s">
        <v>353</v>
      </c>
      <c r="M147" s="83" t="s">
        <v>380</v>
      </c>
      <c r="N147" s="83" t="s">
        <v>381</v>
      </c>
      <c r="O147" s="83" t="s">
        <v>358</v>
      </c>
      <c r="P147" s="83" t="s">
        <v>171</v>
      </c>
      <c r="Q147" s="83" t="s">
        <v>382</v>
      </c>
      <c r="R147" s="168" t="s">
        <v>383</v>
      </c>
      <c r="S147" s="168" t="s">
        <v>383</v>
      </c>
      <c r="T147" s="168" t="s">
        <v>383</v>
      </c>
      <c r="AK147" s="99" t="str">
        <f>AK133</f>
        <v>Velg arealtype</v>
      </c>
      <c r="AX147" s="100"/>
    </row>
    <row r="148" spans="3:50">
      <c r="C148" s="26" t="s">
        <v>384</v>
      </c>
      <c r="D148" s="169"/>
      <c r="E148" s="169"/>
      <c r="F148" s="169"/>
      <c r="G148" s="169"/>
      <c r="H148" s="169"/>
      <c r="I148" s="169"/>
      <c r="J148" s="169"/>
      <c r="K148" s="169"/>
      <c r="L148" s="169"/>
      <c r="M148" s="169"/>
      <c r="N148" s="169"/>
      <c r="O148" s="169"/>
      <c r="P148" s="169"/>
      <c r="Q148" s="169"/>
      <c r="R148" s="169"/>
      <c r="S148" s="169"/>
      <c r="T148" s="169"/>
      <c r="AK148" s="101" t="s">
        <v>146</v>
      </c>
      <c r="AL148" s="26" t="s">
        <v>417</v>
      </c>
      <c r="AM148" s="26" t="s">
        <v>418</v>
      </c>
      <c r="AN148" s="26" t="s">
        <v>219</v>
      </c>
      <c r="AO148" s="58"/>
      <c r="AQ148" s="25" t="s">
        <v>399</v>
      </c>
      <c r="AR148" s="25" t="s">
        <v>400</v>
      </c>
      <c r="AW148" s="26" t="s">
        <v>417</v>
      </c>
      <c r="AX148" s="100"/>
    </row>
    <row r="149" spans="3:50">
      <c r="C149" s="26" t="s">
        <v>388</v>
      </c>
      <c r="D149" s="169"/>
      <c r="E149" s="169"/>
      <c r="F149" s="169"/>
      <c r="G149" s="169"/>
      <c r="H149" s="169"/>
      <c r="I149" s="169"/>
      <c r="J149" s="169"/>
      <c r="K149" s="169"/>
      <c r="L149" s="169"/>
      <c r="M149" s="169"/>
      <c r="N149" s="169"/>
      <c r="O149" s="169"/>
      <c r="P149" s="169"/>
      <c r="Q149" s="169"/>
      <c r="R149" s="169"/>
      <c r="S149" s="169"/>
      <c r="T149" s="169"/>
      <c r="AK149" s="101" t="s">
        <v>144</v>
      </c>
      <c r="AL149" s="26" t="s">
        <v>419</v>
      </c>
      <c r="AM149" s="26" t="s">
        <v>420</v>
      </c>
      <c r="AN149" s="26" t="s">
        <v>257</v>
      </c>
      <c r="AO149" s="58" t="s">
        <v>301</v>
      </c>
      <c r="AW149" s="26" t="s">
        <v>419</v>
      </c>
      <c r="AX149" s="100"/>
    </row>
    <row r="150" spans="3:50">
      <c r="C150" s="26" t="s">
        <v>390</v>
      </c>
      <c r="D150" s="37"/>
      <c r="E150" s="37"/>
      <c r="F150" s="37"/>
      <c r="G150" s="37"/>
      <c r="H150" s="37"/>
      <c r="I150" s="37"/>
      <c r="J150" s="37"/>
      <c r="K150" s="37"/>
      <c r="L150" s="37"/>
      <c r="M150" s="37"/>
      <c r="N150" s="37"/>
      <c r="O150" s="37"/>
      <c r="P150" s="37"/>
      <c r="Q150" s="37"/>
      <c r="R150" s="37"/>
      <c r="S150" s="37"/>
      <c r="T150" s="37"/>
      <c r="AK150" s="101"/>
      <c r="AL150" s="26"/>
      <c r="AM150" s="26"/>
      <c r="AN150" s="26"/>
      <c r="AX150" s="100"/>
    </row>
    <row r="151" spans="3:50" ht="14.1" thickBot="1">
      <c r="C151" s="26" t="s">
        <v>392</v>
      </c>
      <c r="D151" s="37"/>
      <c r="E151" s="37"/>
      <c r="F151" s="37"/>
      <c r="G151" s="37"/>
      <c r="H151" s="37"/>
      <c r="I151" s="37"/>
      <c r="J151" s="37"/>
      <c r="K151" s="37"/>
      <c r="L151" s="37"/>
      <c r="M151" s="37"/>
      <c r="N151" s="37"/>
      <c r="O151" s="37"/>
      <c r="P151" s="37"/>
      <c r="Q151" s="37"/>
      <c r="R151" s="37"/>
      <c r="S151" s="37"/>
      <c r="T151" s="37"/>
      <c r="AK151" s="103" t="s">
        <v>421</v>
      </c>
      <c r="AL151" s="104"/>
      <c r="AM151" s="104"/>
      <c r="AN151" s="104"/>
      <c r="AO151" s="105"/>
      <c r="AP151" s="105"/>
      <c r="AQ151" s="105"/>
      <c r="AR151" s="105"/>
      <c r="AS151" s="105"/>
      <c r="AT151" s="105"/>
      <c r="AU151" s="105"/>
      <c r="AV151" s="105"/>
      <c r="AW151" s="105"/>
      <c r="AX151" s="106"/>
    </row>
    <row r="152" spans="3:50">
      <c r="C152" s="26" t="s">
        <v>395</v>
      </c>
      <c r="D152" s="37"/>
      <c r="E152" s="37"/>
      <c r="F152" s="37"/>
      <c r="G152" s="37"/>
      <c r="H152" s="37"/>
      <c r="I152" s="37"/>
      <c r="J152" s="37"/>
      <c r="K152" s="37"/>
      <c r="L152" s="37"/>
      <c r="M152" s="37"/>
      <c r="N152" s="37"/>
      <c r="O152" s="37"/>
      <c r="P152" s="37"/>
      <c r="Q152" s="37"/>
      <c r="R152" s="37"/>
      <c r="S152" s="37"/>
      <c r="T152" s="37"/>
    </row>
    <row r="153" spans="3:50">
      <c r="C153" s="26" t="s">
        <v>397</v>
      </c>
      <c r="D153" s="37"/>
      <c r="E153" s="37"/>
      <c r="F153" s="37"/>
      <c r="G153" s="37"/>
      <c r="H153" s="37"/>
      <c r="I153" s="37"/>
      <c r="J153" s="37"/>
      <c r="K153" s="37"/>
      <c r="L153" s="37"/>
      <c r="M153" s="37"/>
      <c r="N153" s="37"/>
      <c r="O153" s="37"/>
      <c r="P153" s="37"/>
      <c r="Q153" s="37"/>
      <c r="R153" s="37"/>
      <c r="S153" s="37"/>
      <c r="T153" s="37"/>
    </row>
    <row r="154" spans="3:50">
      <c r="C154" s="26" t="s">
        <v>401</v>
      </c>
      <c r="D154" s="37"/>
      <c r="E154" s="37"/>
      <c r="F154" s="37"/>
      <c r="G154" s="37"/>
      <c r="H154" s="37"/>
      <c r="I154" s="37"/>
      <c r="J154" s="37"/>
      <c r="K154" s="37"/>
      <c r="L154" s="37"/>
      <c r="M154" s="37"/>
      <c r="N154" s="37"/>
      <c r="O154" s="37"/>
      <c r="P154" s="37"/>
      <c r="Q154" s="37"/>
      <c r="R154" s="37"/>
      <c r="S154" s="37"/>
      <c r="T154" s="37"/>
    </row>
    <row r="155" spans="3:50">
      <c r="C155" s="26" t="s">
        <v>403</v>
      </c>
      <c r="D155" s="37"/>
      <c r="E155" s="37"/>
      <c r="F155" s="37"/>
      <c r="G155" s="37"/>
      <c r="H155" s="37"/>
      <c r="I155" s="37"/>
      <c r="J155" s="37"/>
      <c r="K155" s="37"/>
      <c r="L155" s="37"/>
      <c r="M155" s="37"/>
      <c r="N155" s="37"/>
      <c r="O155" s="37"/>
      <c r="P155" s="37"/>
      <c r="Q155" s="37"/>
      <c r="R155" s="37"/>
      <c r="S155" s="37"/>
      <c r="T155" s="37"/>
    </row>
    <row r="156" spans="3:50">
      <c r="C156" s="167" t="s">
        <v>383</v>
      </c>
      <c r="D156" s="37"/>
      <c r="E156" s="37"/>
      <c r="F156" s="37"/>
      <c r="G156" s="37"/>
      <c r="H156" s="37"/>
      <c r="I156" s="37"/>
      <c r="J156" s="37"/>
      <c r="K156" s="37"/>
      <c r="L156" s="37"/>
      <c r="M156" s="37"/>
      <c r="N156" s="37"/>
      <c r="O156" s="37"/>
      <c r="P156" s="37"/>
      <c r="Q156" s="37"/>
      <c r="R156" s="37"/>
      <c r="S156" s="37"/>
      <c r="T156" s="37"/>
    </row>
    <row r="157" spans="3:50">
      <c r="C157" s="167" t="s">
        <v>383</v>
      </c>
      <c r="D157" s="37"/>
      <c r="E157" s="37"/>
      <c r="F157" s="37"/>
      <c r="G157" s="37"/>
      <c r="H157" s="37"/>
      <c r="I157" s="37"/>
      <c r="J157" s="37"/>
      <c r="K157" s="37"/>
      <c r="L157" s="37"/>
      <c r="M157" s="37"/>
      <c r="N157" s="37"/>
      <c r="O157" s="37"/>
      <c r="P157" s="37"/>
      <c r="Q157" s="37"/>
      <c r="R157" s="37"/>
      <c r="S157" s="37"/>
      <c r="T157" s="37"/>
    </row>
    <row r="158" spans="3:50">
      <c r="C158" s="167" t="s">
        <v>383</v>
      </c>
      <c r="D158" s="37"/>
      <c r="E158" s="37"/>
      <c r="F158" s="37"/>
      <c r="G158" s="37"/>
      <c r="H158" s="37"/>
      <c r="I158" s="37"/>
      <c r="J158" s="37"/>
      <c r="K158" s="37"/>
      <c r="L158" s="37"/>
      <c r="M158" s="37"/>
      <c r="N158" s="37"/>
      <c r="O158" s="37"/>
      <c r="P158" s="37"/>
      <c r="Q158" s="37"/>
      <c r="R158" s="37"/>
      <c r="S158" s="37"/>
      <c r="T158" s="37"/>
    </row>
    <row r="159" spans="3:50" ht="14.1">
      <c r="C159" s="197" t="s">
        <v>409</v>
      </c>
      <c r="D159" s="197">
        <f t="shared" ref="D159:T159" si="17">SUM(D148:D158)</f>
        <v>0</v>
      </c>
      <c r="E159" s="197">
        <f t="shared" si="17"/>
        <v>0</v>
      </c>
      <c r="F159" s="197">
        <f t="shared" si="17"/>
        <v>0</v>
      </c>
      <c r="G159" s="197">
        <f t="shared" si="17"/>
        <v>0</v>
      </c>
      <c r="H159" s="197">
        <f t="shared" si="17"/>
        <v>0</v>
      </c>
      <c r="I159" s="197">
        <f t="shared" si="17"/>
        <v>0</v>
      </c>
      <c r="J159" s="197">
        <f t="shared" si="17"/>
        <v>0</v>
      </c>
      <c r="K159" s="197">
        <f t="shared" si="17"/>
        <v>0</v>
      </c>
      <c r="L159" s="197">
        <f t="shared" si="17"/>
        <v>0</v>
      </c>
      <c r="M159" s="197">
        <f t="shared" si="17"/>
        <v>0</v>
      </c>
      <c r="N159" s="197">
        <f t="shared" si="17"/>
        <v>0</v>
      </c>
      <c r="O159" s="197">
        <f t="shared" si="17"/>
        <v>0</v>
      </c>
      <c r="P159" s="197">
        <f t="shared" si="17"/>
        <v>0</v>
      </c>
      <c r="Q159" s="197">
        <f t="shared" si="17"/>
        <v>0</v>
      </c>
      <c r="R159" s="197">
        <f t="shared" si="17"/>
        <v>0</v>
      </c>
      <c r="S159" s="197">
        <f t="shared" si="17"/>
        <v>0</v>
      </c>
      <c r="T159" s="197">
        <f t="shared" si="17"/>
        <v>0</v>
      </c>
    </row>
  </sheetData>
  <sheetProtection algorithmName="SHA-512" hashValue="Ub8F0DOjiuFAKN89mUHlMN1Vzai67YhhYtPFHJYLEHIeYyEyjazkPhgVBFOTgFZs6FTVu2RbCR9D9FM3A6mpjg==" saltValue="NNX+KwDT4PEmS/KKUD9ITQ==" spinCount="100000" sheet="1" objects="1" scenarios="1"/>
  <mergeCells count="92">
    <mergeCell ref="I99:L99"/>
    <mergeCell ref="C100:L103"/>
    <mergeCell ref="D109:F109"/>
    <mergeCell ref="D114:F114"/>
    <mergeCell ref="C96:C97"/>
    <mergeCell ref="D96:H96"/>
    <mergeCell ref="G97:H97"/>
    <mergeCell ref="D98:E98"/>
    <mergeCell ref="G98:H98"/>
    <mergeCell ref="D99:E99"/>
    <mergeCell ref="G99:H99"/>
    <mergeCell ref="I98:L98"/>
    <mergeCell ref="I93:L93"/>
    <mergeCell ref="D86:F86"/>
    <mergeCell ref="I86:L86"/>
    <mergeCell ref="D87:F87"/>
    <mergeCell ref="H87:H88"/>
    <mergeCell ref="I87:L87"/>
    <mergeCell ref="D88:F88"/>
    <mergeCell ref="I88:L88"/>
    <mergeCell ref="I89:L89"/>
    <mergeCell ref="D90:F90"/>
    <mergeCell ref="I90:L90"/>
    <mergeCell ref="I91:L91"/>
    <mergeCell ref="I92:L92"/>
    <mergeCell ref="D85:F85"/>
    <mergeCell ref="I85:L85"/>
    <mergeCell ref="V65:Z65"/>
    <mergeCell ref="F66:J66"/>
    <mergeCell ref="G67:J67"/>
    <mergeCell ref="G68:J68"/>
    <mergeCell ref="G69:J69"/>
    <mergeCell ref="I80:L80"/>
    <mergeCell ref="I81:L81"/>
    <mergeCell ref="I82:L82"/>
    <mergeCell ref="I83:L83"/>
    <mergeCell ref="I84:L84"/>
    <mergeCell ref="C78:C79"/>
    <mergeCell ref="D78:G78"/>
    <mergeCell ref="H78:H79"/>
    <mergeCell ref="F60:J60"/>
    <mergeCell ref="F61:J61"/>
    <mergeCell ref="F62:J62"/>
    <mergeCell ref="F63:J63"/>
    <mergeCell ref="F64:J64"/>
    <mergeCell ref="F65:J65"/>
    <mergeCell ref="F57:J57"/>
    <mergeCell ref="AO36:AT36"/>
    <mergeCell ref="G37:J37"/>
    <mergeCell ref="G38:J38"/>
    <mergeCell ref="G39:J39"/>
    <mergeCell ref="F44:J44"/>
    <mergeCell ref="G36:J36"/>
    <mergeCell ref="H50:J50"/>
    <mergeCell ref="H51:J51"/>
    <mergeCell ref="F54:J54"/>
    <mergeCell ref="F55:J55"/>
    <mergeCell ref="F56:J56"/>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11:O11"/>
    <mergeCell ref="V1:BB1"/>
    <mergeCell ref="C7:O7"/>
    <mergeCell ref="D8:O8"/>
    <mergeCell ref="D9:O9"/>
    <mergeCell ref="D10:O10"/>
    <mergeCell ref="AN16:BB16"/>
    <mergeCell ref="E17:F17"/>
    <mergeCell ref="G17:H17"/>
    <mergeCell ref="I17:J17"/>
    <mergeCell ref="K17:K18"/>
    <mergeCell ref="L17:N17"/>
    <mergeCell ref="AG17:AK17"/>
    <mergeCell ref="AN17:AR17"/>
    <mergeCell ref="AS17:AW17"/>
    <mergeCell ref="AX17:BB17"/>
  </mergeCells>
  <conditionalFormatting sqref="C29:J30">
    <cfRule type="expression" dxfId="135" priority="32">
      <formula>$V$40=0</formula>
    </cfRule>
  </conditionalFormatting>
  <conditionalFormatting sqref="K19:K24">
    <cfRule type="expression" dxfId="134" priority="31">
      <formula>V19=1</formula>
    </cfRule>
  </conditionalFormatting>
  <conditionalFormatting sqref="E19:J19 E20:H21 J20:J21 E22:J22 E23:I24">
    <cfRule type="expression" dxfId="133" priority="29">
      <formula>$W19=0</formula>
    </cfRule>
    <cfRule type="expression" dxfId="132" priority="30">
      <formula>$W19=1</formula>
    </cfRule>
  </conditionalFormatting>
  <conditionalFormatting sqref="M19:N24">
    <cfRule type="expression" dxfId="131" priority="27">
      <formula>$X19=0</formula>
    </cfRule>
    <cfRule type="expression" dxfId="130" priority="28">
      <formula>$X19=1</formula>
    </cfRule>
  </conditionalFormatting>
  <conditionalFormatting sqref="N19:N24">
    <cfRule type="expression" dxfId="129" priority="26">
      <formula>$L19&lt;&gt;""</formula>
    </cfRule>
  </conditionalFormatting>
  <conditionalFormatting sqref="C43:J43 C44:F44 C45:C46">
    <cfRule type="expression" dxfId="128" priority="25">
      <formula>$V$46=0</formula>
    </cfRule>
  </conditionalFormatting>
  <conditionalFormatting sqref="I20:I21">
    <cfRule type="expression" dxfId="127" priority="23">
      <formula>$W20=0</formula>
    </cfRule>
    <cfRule type="expression" dxfId="126" priority="24">
      <formula>$W20=1</formula>
    </cfRule>
  </conditionalFormatting>
  <conditionalFormatting sqref="H85">
    <cfRule type="iconSet" priority="19">
      <iconSet>
        <cfvo type="percent" val="0"/>
        <cfvo type="percent" val="33"/>
        <cfvo type="percent" val="67"/>
      </iconSet>
    </cfRule>
  </conditionalFormatting>
  <conditionalFormatting sqref="J23:J24">
    <cfRule type="expression" dxfId="125" priority="33">
      <formula>$W23=0</formula>
    </cfRule>
    <cfRule type="expression" dxfId="124" priority="34">
      <formula>$W23=1</formula>
    </cfRule>
  </conditionalFormatting>
  <conditionalFormatting sqref="E25:F26">
    <cfRule type="expression" dxfId="123" priority="35">
      <formula>$V$29=0</formula>
    </cfRule>
    <cfRule type="expression" dxfId="122" priority="36">
      <formula>$V$29&gt;0</formula>
    </cfRule>
  </conditionalFormatting>
  <conditionalFormatting sqref="G25:H26">
    <cfRule type="expression" dxfId="121" priority="37">
      <formula>$W$29=0</formula>
    </cfRule>
    <cfRule type="expression" dxfId="120" priority="38">
      <formula>$W$29&gt;0</formula>
    </cfRule>
  </conditionalFormatting>
  <conditionalFormatting sqref="I27:J27">
    <cfRule type="expression" dxfId="119" priority="39">
      <formula>$X$29=0</formula>
    </cfRule>
    <cfRule type="expression" dxfId="118" priority="40">
      <formula>$X$29&gt;0</formula>
    </cfRule>
  </conditionalFormatting>
  <conditionalFormatting sqref="D80:D91">
    <cfRule type="expression" dxfId="117" priority="41">
      <formula>$V$29=0</formula>
    </cfRule>
  </conditionalFormatting>
  <conditionalFormatting sqref="E80:E84 E89 E91">
    <cfRule type="expression" dxfId="116" priority="42">
      <formula>$W$29=0</formula>
    </cfRule>
  </conditionalFormatting>
  <conditionalFormatting sqref="F82:F84 F89 F91">
    <cfRule type="expression" dxfId="115" priority="43">
      <formula>$V$30=0</formula>
    </cfRule>
  </conditionalFormatting>
  <conditionalFormatting sqref="G27:H27">
    <cfRule type="expression" dxfId="114" priority="44">
      <formula>$W$29&gt;0</formula>
    </cfRule>
  </conditionalFormatting>
  <conditionalFormatting sqref="F44:J44">
    <cfRule type="expression" dxfId="113" priority="11">
      <formula>$V$46=0</formula>
    </cfRule>
  </conditionalFormatting>
  <conditionalFormatting sqref="D92">
    <cfRule type="expression" dxfId="112" priority="4">
      <formula>$D$92=0</formula>
    </cfRule>
    <cfRule type="expression" dxfId="111" priority="45">
      <formula>$E$44&lt;&gt;Nei</formula>
    </cfRule>
  </conditionalFormatting>
  <conditionalFormatting sqref="E37">
    <cfRule type="expression" dxfId="110" priority="9">
      <formula>$E$36=""</formula>
    </cfRule>
    <cfRule type="expression" dxfId="109" priority="10">
      <formula>$E$36=0</formula>
    </cfRule>
  </conditionalFormatting>
  <conditionalFormatting sqref="D86:F86">
    <cfRule type="expression" dxfId="108" priority="8">
      <formula>$D$86=0</formula>
    </cfRule>
  </conditionalFormatting>
  <conditionalFormatting sqref="D87:F87">
    <cfRule type="expression" dxfId="107" priority="7">
      <formula>$D$87=0</formula>
    </cfRule>
  </conditionalFormatting>
  <conditionalFormatting sqref="D88:F88">
    <cfRule type="expression" dxfId="106" priority="6">
      <formula>$D$88=0</formula>
    </cfRule>
  </conditionalFormatting>
  <conditionalFormatting sqref="D90:F90">
    <cfRule type="expression" dxfId="105" priority="5">
      <formula>$D$90=0</formula>
    </cfRule>
  </conditionalFormatting>
  <conditionalFormatting sqref="AB4:AC4">
    <cfRule type="expression" dxfId="104" priority="3">
      <formula>$Z$11=0</formula>
    </cfRule>
  </conditionalFormatting>
  <conditionalFormatting sqref="C130:T159">
    <cfRule type="expression" dxfId="103" priority="2">
      <formula>$D$128=$AA$126</formula>
    </cfRule>
  </conditionalFormatting>
  <conditionalFormatting sqref="D81">
    <cfRule type="expression" dxfId="102" priority="1">
      <formula>$E$25+$E$26=0</formula>
    </cfRule>
  </conditionalFormatting>
  <dataValidations count="7">
    <dataValidation type="list" allowBlank="1" showInputMessage="1" showErrorMessage="1" sqref="D128" xr:uid="{1068276F-F256-4E3B-8D9D-B5B9AA46FEAD}">
      <formula1>$AA$125:$AA$126</formula1>
    </dataValidation>
    <dataValidation type="list" allowBlank="1" showInputMessage="1" showErrorMessage="1" sqref="D19:D22" xr:uid="{22A82EAF-28C8-4795-9176-AC0E5A567E18}">
      <formula1>$AK$133:$AK$145</formula1>
    </dataValidation>
    <dataValidation type="list" allowBlank="1" showInputMessage="1" showErrorMessage="1" sqref="D23:D24" xr:uid="{84AFD656-BA84-4447-8885-A73502714A44}">
      <formula1>$AK$147:$AK$149</formula1>
    </dataValidation>
    <dataValidation type="list" allowBlank="1" showInputMessage="1" showErrorMessage="1" sqref="G50:G51" xr:uid="{2D849FE4-CC18-496A-8D0B-51B8DA5D2CDC}">
      <formula1>$V$53:$V$56</formula1>
    </dataValidation>
    <dataValidation type="list" allowBlank="1" showInputMessage="1" showErrorMessage="1" sqref="D41" xr:uid="{47B4F96C-ED55-42B8-8691-7C68DEBC11A2}">
      <formula1>$AA$40:$AA$42</formula1>
    </dataValidation>
    <dataValidation type="list" allowBlank="1" showInputMessage="1" showErrorMessage="1" sqref="E44" xr:uid="{974D2507-565B-4088-94C3-F02B0DAE90D0}">
      <formula1>$AA$45:$AA$47</formula1>
    </dataValidation>
    <dataValidation type="whole" operator="lessThan" allowBlank="1" showInputMessage="1" showErrorMessage="1" error="Oppgi produsert strøm fra solceller som negativt tall" sqref="E39" xr:uid="{EE393C8E-B368-4E64-A3EF-2C391A6DDC2C}">
      <formula1>1</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1" id="{2DEC302A-90C4-48D1-B43A-8C21291A2B44}">
            <x14:iconSet custom="1">
              <x14:cfvo type="percent">
                <xm:f>0</xm:f>
              </x14:cfvo>
              <x14:cfvo type="num">
                <xm:f>0</xm:f>
              </x14:cfvo>
              <x14:cfvo type="num" gte="0">
                <xm:f>0</xm:f>
              </x14:cfvo>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2" id="{A6D08DCA-D1CF-4C24-B6C0-B75707D1591C}">
            <x14:iconSet custom="1">
              <x14:cfvo type="percent">
                <xm:f>0</xm:f>
              </x14:cfvo>
              <x14:cfvo type="num">
                <xm:f>0.09</xm:f>
              </x14:cfvo>
              <x14:cfvo type="num">
                <xm:f>0.11</xm:f>
              </x14:cfvo>
              <x14:cfIcon iconSet="3TrafficLights1" iconId="1"/>
              <x14:cfIcon iconSet="3TrafficLights1" iconId="2"/>
              <x14:cfIcon iconSet="3TrafficLights1" iconId="0"/>
            </x14:iconSet>
          </x14:cfRule>
          <xm:sqref>H80</xm:sqref>
        </x14:conditionalFormatting>
        <x14:conditionalFormatting xmlns:xm="http://schemas.microsoft.com/office/excel/2006/main">
          <x14:cfRule type="iconSet" priority="17" id="{C0098432-8F42-48BE-BCA0-50DE08B05987}">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H81</xm:sqref>
        </x14:conditionalFormatting>
        <x14:conditionalFormatting xmlns:xm="http://schemas.microsoft.com/office/excel/2006/main">
          <x14:cfRule type="iconSet" priority="18" id="{A6161B87-5160-497C-95A8-321283B9D737}">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6" id="{ED80EBB0-5391-4D17-B27E-DBAAE8733DE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H83</xm:sqref>
        </x14:conditionalFormatting>
        <x14:conditionalFormatting xmlns:xm="http://schemas.microsoft.com/office/excel/2006/main">
          <x14:cfRule type="iconSet" priority="15" id="{8628486D-88D4-4B47-833E-DA7544F9D7E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2" id="{13FF38EF-E070-47A6-B0C8-FDF5ADDF6F1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H91</xm:sqref>
        </x14:conditionalFormatting>
        <x14:conditionalFormatting xmlns:xm="http://schemas.microsoft.com/office/excel/2006/main">
          <x14:cfRule type="iconSet" priority="13" id="{6EB5E14E-5305-4AE4-9230-2135FFCD1CD5}">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4" id="{468D8F5E-5187-428B-BAAA-621CA0E419F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0" id="{9E5ECAC5-1B93-44CE-9327-C52EEF69379F}">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C4FF-8587-4C3D-B78B-28D9356CD286}">
  <sheetPr>
    <pageSetUpPr fitToPage="1"/>
  </sheetPr>
  <dimension ref="C1:BB159"/>
  <sheetViews>
    <sheetView showGridLines="0" zoomScale="85" zoomScaleNormal="85" workbookViewId="0">
      <selection activeCell="C100" sqref="C100:L103"/>
    </sheetView>
  </sheetViews>
  <sheetFormatPr baseColWidth="10" defaultColWidth="9.15625" defaultRowHeight="13.8"/>
  <cols>
    <col min="1" max="1" width="1.68359375" style="25" customWidth="1"/>
    <col min="2" max="2" width="1" style="25" customWidth="1"/>
    <col min="3" max="3" width="64.83984375" style="25" customWidth="1"/>
    <col min="4" max="4" width="35.15625" style="25" customWidth="1"/>
    <col min="5" max="5" width="18.68359375" style="25" customWidth="1"/>
    <col min="6" max="6" width="17.41796875" style="25" customWidth="1"/>
    <col min="7" max="7" width="16.578125" style="25" bestFit="1" customWidth="1"/>
    <col min="8" max="8" width="15.578125" style="25" customWidth="1"/>
    <col min="9" max="9" width="15.15625" style="25" bestFit="1" customWidth="1"/>
    <col min="10" max="10" width="6.15625" style="25" customWidth="1"/>
    <col min="11" max="11" width="11.41796875" style="25" customWidth="1"/>
    <col min="12" max="12" width="31.578125" style="25" customWidth="1"/>
    <col min="13" max="13" width="6.26171875" style="25" bestFit="1" customWidth="1"/>
    <col min="14" max="14" width="6.15625" style="25" bestFit="1" customWidth="1"/>
    <col min="15" max="15" width="27.41796875" style="25" customWidth="1"/>
    <col min="16" max="16" width="17.41796875" style="25" customWidth="1"/>
    <col min="17" max="17" width="13.83984375" style="25" customWidth="1"/>
    <col min="18" max="18" width="14.68359375" style="25" customWidth="1"/>
    <col min="19" max="20" width="9.15625" style="25" customWidth="1"/>
    <col min="21" max="21" width="3.15625" style="25" hidden="1" customWidth="1"/>
    <col min="22" max="22" width="25" style="25" hidden="1" customWidth="1"/>
    <col min="23" max="23" width="9.15625" style="25" hidden="1" customWidth="1"/>
    <col min="24" max="24" width="13" style="25" hidden="1" customWidth="1"/>
    <col min="25" max="25" width="9.15625" style="25" hidden="1" customWidth="1"/>
    <col min="26" max="26" width="14.41796875" style="25" hidden="1" customWidth="1"/>
    <col min="27" max="27" width="22.83984375" style="25" hidden="1" customWidth="1"/>
    <col min="28" max="30" width="9.15625" style="25" hidden="1" customWidth="1"/>
    <col min="31" max="31" width="29.26171875" style="25" hidden="1" customWidth="1"/>
    <col min="32" max="32" width="31.83984375" style="25" hidden="1" customWidth="1"/>
    <col min="33" max="33" width="32.26171875" style="25" hidden="1" customWidth="1"/>
    <col min="34" max="34" width="18.83984375" style="25" hidden="1" customWidth="1"/>
    <col min="35" max="35" width="37.68359375" style="25" hidden="1" customWidth="1"/>
    <col min="36" max="36" width="9.15625" style="25" hidden="1" customWidth="1"/>
    <col min="37" max="37" width="34.68359375" style="25" hidden="1" customWidth="1"/>
    <col min="38" max="38" width="25.15625" style="25" hidden="1" customWidth="1"/>
    <col min="39" max="39" width="23.83984375" style="25" hidden="1" customWidth="1"/>
    <col min="40" max="40" width="35" style="25" hidden="1" customWidth="1"/>
    <col min="41" max="41" width="20.41796875" style="25" hidden="1" customWidth="1"/>
    <col min="42" max="42" width="9.15625" style="25" hidden="1" customWidth="1"/>
    <col min="43" max="43" width="20.83984375" style="25" hidden="1" customWidth="1"/>
    <col min="44" max="44" width="9.15625" style="25" hidden="1" customWidth="1"/>
    <col min="45" max="45" width="14.15625" style="25" hidden="1" customWidth="1"/>
    <col min="46" max="46" width="19.578125" style="25" hidden="1" customWidth="1"/>
    <col min="47" max="48" width="9.15625" style="25" hidden="1" customWidth="1"/>
    <col min="49" max="49" width="12.578125" style="25" hidden="1" customWidth="1"/>
    <col min="50" max="50" width="12.15625" style="25" hidden="1" customWidth="1"/>
    <col min="51" max="51" width="19.578125" style="25" hidden="1" customWidth="1"/>
    <col min="52" max="52" width="12" style="25" hidden="1" customWidth="1"/>
    <col min="53" max="53" width="9.15625" style="25" hidden="1" customWidth="1"/>
    <col min="54" max="54" width="13" style="25" hidden="1" customWidth="1"/>
    <col min="55" max="16384" width="9.15625" style="25"/>
  </cols>
  <sheetData>
    <row r="1" spans="3:54">
      <c r="V1" s="309" t="s">
        <v>140</v>
      </c>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row>
    <row r="2" spans="3:54" ht="27">
      <c r="C2" s="23" t="str">
        <f>"Alternativ 3: "&amp;D4</f>
        <v xml:space="preserve">Alternativ 3: </v>
      </c>
      <c r="D2" s="24"/>
    </row>
    <row r="3" spans="3:54" ht="15.75" customHeight="1"/>
    <row r="4" spans="3:54" ht="15.75" customHeight="1">
      <c r="C4" s="107" t="s">
        <v>141</v>
      </c>
      <c r="D4" s="108"/>
      <c r="E4" s="109"/>
      <c r="F4" s="109"/>
      <c r="G4" s="109"/>
      <c r="H4" s="109"/>
      <c r="I4" s="109"/>
      <c r="J4" s="109"/>
      <c r="K4" s="109"/>
      <c r="L4" s="109"/>
      <c r="M4" s="109"/>
      <c r="N4" s="109"/>
      <c r="O4" s="109"/>
      <c r="AB4" s="20" t="s">
        <v>54</v>
      </c>
      <c r="AC4" s="20" t="s">
        <v>55</v>
      </c>
    </row>
    <row r="5" spans="3:54" ht="15.75" customHeight="1">
      <c r="C5" s="109"/>
      <c r="D5" s="109"/>
      <c r="E5" s="109"/>
      <c r="F5" s="109"/>
      <c r="G5" s="109"/>
      <c r="H5" s="109"/>
      <c r="I5" s="109"/>
      <c r="J5" s="109"/>
      <c r="K5" s="109"/>
      <c r="L5" s="109"/>
      <c r="M5" s="109"/>
      <c r="N5" s="109"/>
      <c r="O5" s="109"/>
      <c r="AA5" s="21" t="s">
        <v>56</v>
      </c>
      <c r="AB5" s="26">
        <f>SUM(E19:E22)</f>
        <v>0</v>
      </c>
      <c r="AC5" s="26">
        <f>SUM(F19:F22)</f>
        <v>0</v>
      </c>
    </row>
    <row r="6" spans="3:54" ht="15.75" customHeight="1">
      <c r="C6" s="109"/>
      <c r="D6" s="109"/>
      <c r="E6" s="109"/>
      <c r="F6" s="109"/>
      <c r="G6" s="109"/>
      <c r="H6" s="109"/>
      <c r="I6" s="109"/>
      <c r="J6" s="109"/>
      <c r="K6" s="109"/>
      <c r="L6" s="109"/>
      <c r="M6" s="109"/>
      <c r="N6" s="109"/>
      <c r="O6" s="109"/>
      <c r="AA6" s="21" t="s">
        <v>57</v>
      </c>
      <c r="AB6" s="26">
        <f>SUM(G19:G22)</f>
        <v>0</v>
      </c>
      <c r="AC6" s="26">
        <f>SUM(H19:H22)</f>
        <v>0</v>
      </c>
    </row>
    <row r="7" spans="3:54" ht="15.75" customHeight="1">
      <c r="C7" s="342" t="s">
        <v>142</v>
      </c>
      <c r="D7" s="342"/>
      <c r="E7" s="342"/>
      <c r="F7" s="342"/>
      <c r="G7" s="342"/>
      <c r="H7" s="342"/>
      <c r="I7" s="342"/>
      <c r="J7" s="342"/>
      <c r="K7" s="342"/>
      <c r="L7" s="342"/>
      <c r="M7" s="342"/>
      <c r="N7" s="342"/>
      <c r="O7" s="342"/>
      <c r="AA7" s="21" t="s">
        <v>58</v>
      </c>
      <c r="AB7" s="26">
        <f>SUM(I19:I22)</f>
        <v>0</v>
      </c>
      <c r="AC7" s="26">
        <f>SUM(J19:J22)</f>
        <v>0</v>
      </c>
    </row>
    <row r="8" spans="3:54" ht="30" customHeight="1">
      <c r="C8" s="110" t="s">
        <v>143</v>
      </c>
      <c r="D8" s="352"/>
      <c r="E8" s="353"/>
      <c r="F8" s="353"/>
      <c r="G8" s="353"/>
      <c r="H8" s="353"/>
      <c r="I8" s="353"/>
      <c r="J8" s="353"/>
      <c r="K8" s="353"/>
      <c r="L8" s="353"/>
      <c r="M8" s="353"/>
      <c r="N8" s="353"/>
      <c r="O8" s="354"/>
      <c r="Z8" s="25" t="s">
        <v>144</v>
      </c>
      <c r="AA8" s="21" t="s">
        <v>59</v>
      </c>
      <c r="AB8" s="26">
        <f>SUMIF($D$23:$D$24,$Z$8,E23:E24)+SUMIF($D$23:$D$24,$Z$8,G23:G24)</f>
        <v>0</v>
      </c>
      <c r="AC8" s="26">
        <f>SUMIF($D$23:$D$24,$Z$8,F23:F24)+SUMIF($D$23:$D$24,$Z$8,H23:H24)</f>
        <v>0</v>
      </c>
    </row>
    <row r="9" spans="3:54" ht="30" customHeight="1">
      <c r="C9" s="111" t="s">
        <v>145</v>
      </c>
      <c r="D9" s="352"/>
      <c r="E9" s="353"/>
      <c r="F9" s="353"/>
      <c r="G9" s="353"/>
      <c r="H9" s="353"/>
      <c r="I9" s="353"/>
      <c r="J9" s="353"/>
      <c r="K9" s="353"/>
      <c r="L9" s="353"/>
      <c r="M9" s="353"/>
      <c r="N9" s="353"/>
      <c r="O9" s="354"/>
      <c r="Z9" s="25" t="s">
        <v>146</v>
      </c>
      <c r="AA9" s="21" t="s">
        <v>60</v>
      </c>
      <c r="AB9" s="26">
        <f>SUMIF($D$23:$D$24,$Z$9,E23:E24)+SUMIF($D$23:$D$24,$Z$9,G23:G24)</f>
        <v>0</v>
      </c>
      <c r="AC9" s="26">
        <f>SUMIF($D$23:$D$24,$Z$9,F23:F24)+SUMIF($D$23:$D$24,$Z$9,H23:H24)</f>
        <v>0</v>
      </c>
    </row>
    <row r="10" spans="3:54" ht="30" customHeight="1">
      <c r="C10" s="110" t="s">
        <v>147</v>
      </c>
      <c r="D10" s="352"/>
      <c r="E10" s="353"/>
      <c r="F10" s="353"/>
      <c r="G10" s="353"/>
      <c r="H10" s="353"/>
      <c r="I10" s="353"/>
      <c r="J10" s="353"/>
      <c r="K10" s="353"/>
      <c r="L10" s="353"/>
      <c r="M10" s="353"/>
      <c r="N10" s="353"/>
      <c r="O10" s="354"/>
    </row>
    <row r="11" spans="3:54" ht="30" customHeight="1">
      <c r="C11" s="110" t="s">
        <v>148</v>
      </c>
      <c r="D11" s="352"/>
      <c r="E11" s="353"/>
      <c r="F11" s="353"/>
      <c r="G11" s="353"/>
      <c r="H11" s="353"/>
      <c r="I11" s="353"/>
      <c r="J11" s="353"/>
      <c r="K11" s="353"/>
      <c r="L11" s="353"/>
      <c r="M11" s="353"/>
      <c r="N11" s="353"/>
      <c r="O11" s="354"/>
    </row>
    <row r="12" spans="3:54" ht="15.75" customHeight="1">
      <c r="C12" s="109"/>
      <c r="D12" s="109"/>
      <c r="E12" s="109"/>
      <c r="F12" s="109"/>
      <c r="G12" s="109"/>
      <c r="H12" s="109"/>
      <c r="I12" s="109"/>
      <c r="J12" s="109"/>
      <c r="K12" s="109"/>
      <c r="L12" s="109"/>
      <c r="M12" s="109"/>
      <c r="N12" s="109"/>
      <c r="O12" s="109"/>
    </row>
    <row r="13" spans="3:54" ht="15.75" customHeight="1">
      <c r="C13" s="109"/>
      <c r="D13" s="109"/>
      <c r="E13" s="109"/>
      <c r="F13" s="109"/>
      <c r="G13" s="109"/>
      <c r="H13" s="109"/>
      <c r="I13" s="109"/>
      <c r="J13" s="109"/>
      <c r="K13" s="109"/>
      <c r="L13" s="109"/>
      <c r="M13" s="109"/>
      <c r="N13" s="109"/>
      <c r="O13" s="109"/>
    </row>
    <row r="14" spans="3:54" ht="15.75" customHeight="1">
      <c r="C14" s="173" t="s">
        <v>149</v>
      </c>
      <c r="D14" s="174"/>
      <c r="E14" s="109"/>
      <c r="F14" s="109"/>
      <c r="G14" s="109"/>
      <c r="H14" s="109"/>
      <c r="I14" s="109"/>
      <c r="J14" s="109"/>
      <c r="K14" s="109"/>
      <c r="L14" s="109"/>
      <c r="M14" s="109"/>
      <c r="N14" s="109"/>
      <c r="O14" s="109"/>
    </row>
    <row r="15" spans="3:54" ht="15.75" customHeight="1" thickBot="1">
      <c r="C15" s="175" t="s">
        <v>150</v>
      </c>
      <c r="D15" s="176"/>
      <c r="E15" s="109"/>
      <c r="F15" s="109"/>
      <c r="G15" s="109"/>
      <c r="H15" s="109"/>
      <c r="I15" s="109"/>
      <c r="J15" s="109"/>
      <c r="K15" s="109"/>
      <c r="L15" s="109"/>
      <c r="M15" s="109"/>
      <c r="N15" s="109"/>
      <c r="O15" s="109"/>
    </row>
    <row r="16" spans="3:54" ht="14.1" thickBot="1">
      <c r="C16" s="109"/>
      <c r="D16" s="109"/>
      <c r="E16" s="109"/>
      <c r="F16" s="109"/>
      <c r="G16" s="109"/>
      <c r="H16" s="109"/>
      <c r="I16" s="109"/>
      <c r="J16" s="109"/>
      <c r="K16" s="109"/>
      <c r="L16" s="109"/>
      <c r="M16" s="109"/>
      <c r="N16" s="109"/>
      <c r="O16" s="109"/>
      <c r="AE16" s="27" t="s">
        <v>151</v>
      </c>
      <c r="AF16" s="28"/>
      <c r="AG16" s="28"/>
      <c r="AH16" s="28"/>
      <c r="AI16" s="28"/>
      <c r="AJ16" s="28"/>
      <c r="AK16" s="29"/>
      <c r="AN16" s="330" t="s">
        <v>152</v>
      </c>
      <c r="AO16" s="331"/>
      <c r="AP16" s="331"/>
      <c r="AQ16" s="331"/>
      <c r="AR16" s="331"/>
      <c r="AS16" s="331"/>
      <c r="AT16" s="331"/>
      <c r="AU16" s="331"/>
      <c r="AV16" s="331"/>
      <c r="AW16" s="331"/>
      <c r="AX16" s="331"/>
      <c r="AY16" s="331"/>
      <c r="AZ16" s="331"/>
      <c r="BA16" s="331"/>
      <c r="BB16" s="332"/>
    </row>
    <row r="17" spans="3:54" ht="30" customHeight="1">
      <c r="C17" s="112" t="s">
        <v>153</v>
      </c>
      <c r="D17" s="113" t="s">
        <v>154</v>
      </c>
      <c r="E17" s="347" t="s">
        <v>155</v>
      </c>
      <c r="F17" s="348"/>
      <c r="G17" s="349" t="s">
        <v>156</v>
      </c>
      <c r="H17" s="350"/>
      <c r="I17" s="351" t="s">
        <v>157</v>
      </c>
      <c r="J17" s="296"/>
      <c r="K17" s="343" t="s">
        <v>158</v>
      </c>
      <c r="L17" s="290" t="s">
        <v>159</v>
      </c>
      <c r="M17" s="290"/>
      <c r="N17" s="290"/>
      <c r="O17" s="114" t="s">
        <v>90</v>
      </c>
      <c r="V17" s="27" t="s">
        <v>159</v>
      </c>
      <c r="W17" s="28"/>
      <c r="X17" s="29"/>
      <c r="AG17" s="338" t="s">
        <v>160</v>
      </c>
      <c r="AH17" s="338"/>
      <c r="AI17" s="338"/>
      <c r="AJ17" s="338"/>
      <c r="AK17" s="338"/>
      <c r="AN17" s="339" t="s">
        <v>161</v>
      </c>
      <c r="AO17" s="340"/>
      <c r="AP17" s="340"/>
      <c r="AQ17" s="340"/>
      <c r="AR17" s="341"/>
      <c r="AS17" s="324" t="s">
        <v>162</v>
      </c>
      <c r="AT17" s="325"/>
      <c r="AU17" s="325"/>
      <c r="AV17" s="325"/>
      <c r="AW17" s="326"/>
      <c r="AX17" s="327" t="s">
        <v>157</v>
      </c>
      <c r="AY17" s="328"/>
      <c r="AZ17" s="328"/>
      <c r="BA17" s="328"/>
      <c r="BB17" s="329"/>
    </row>
    <row r="18" spans="3:54" ht="15" customHeight="1" thickBot="1">
      <c r="C18" s="115"/>
      <c r="D18" s="116"/>
      <c r="E18" s="117" t="s">
        <v>54</v>
      </c>
      <c r="F18" s="118" t="s">
        <v>55</v>
      </c>
      <c r="G18" s="118" t="s">
        <v>54</v>
      </c>
      <c r="H18" s="118" t="s">
        <v>55</v>
      </c>
      <c r="I18" s="118" t="s">
        <v>54</v>
      </c>
      <c r="J18" s="118" t="s">
        <v>55</v>
      </c>
      <c r="K18" s="344"/>
      <c r="L18" s="116" t="s">
        <v>4</v>
      </c>
      <c r="M18" s="116" t="s">
        <v>163</v>
      </c>
      <c r="N18" s="119" t="s">
        <v>164</v>
      </c>
      <c r="O18" s="120"/>
      <c r="V18" s="26" t="s">
        <v>165</v>
      </c>
      <c r="W18" s="26"/>
      <c r="X18" s="26" t="s">
        <v>166</v>
      </c>
      <c r="AG18" s="31" t="s">
        <v>167</v>
      </c>
      <c r="AH18" s="31" t="s">
        <v>168</v>
      </c>
      <c r="AI18" s="31" t="s">
        <v>169</v>
      </c>
      <c r="AJ18" s="31" t="s">
        <v>170</v>
      </c>
      <c r="AK18" s="31" t="s">
        <v>171</v>
      </c>
      <c r="AN18" s="32" t="s">
        <v>167</v>
      </c>
      <c r="AO18" s="33" t="s">
        <v>168</v>
      </c>
      <c r="AP18" s="33" t="s">
        <v>169</v>
      </c>
      <c r="AQ18" s="33" t="s">
        <v>170</v>
      </c>
      <c r="AR18" s="34" t="s">
        <v>171</v>
      </c>
      <c r="AS18" s="32" t="s">
        <v>167</v>
      </c>
      <c r="AT18" s="33" t="s">
        <v>168</v>
      </c>
      <c r="AU18" s="33" t="s">
        <v>169</v>
      </c>
      <c r="AV18" s="33" t="s">
        <v>170</v>
      </c>
      <c r="AW18" s="34" t="s">
        <v>171</v>
      </c>
      <c r="AX18" s="35" t="s">
        <v>167</v>
      </c>
      <c r="AY18" s="33" t="s">
        <v>168</v>
      </c>
      <c r="AZ18" s="33" t="s">
        <v>169</v>
      </c>
      <c r="BA18" s="33" t="s">
        <v>170</v>
      </c>
      <c r="BB18" s="34" t="s">
        <v>171</v>
      </c>
    </row>
    <row r="19" spans="3:54">
      <c r="C19" s="121" t="s">
        <v>172</v>
      </c>
      <c r="D19" s="122" t="s">
        <v>173</v>
      </c>
      <c r="E19" s="123"/>
      <c r="F19" s="123"/>
      <c r="G19" s="123"/>
      <c r="H19" s="123"/>
      <c r="I19" s="123"/>
      <c r="J19" s="123"/>
      <c r="K19" s="123"/>
      <c r="L19" s="107" t="str">
        <f t="shared" ref="L19:L24" si="0">IF(VLOOKUP(D19,$AK$133:$AO$151,AN$131,FALSE)=0,"",VLOOKUP(D19,$AK$133:$AO$151,AN$131,FALSE))</f>
        <v/>
      </c>
      <c r="M19" s="123"/>
      <c r="N19" s="124" t="str">
        <f t="shared" ref="N19:N24" si="1">IF(VLOOKUP(D19,$AK$133:$AO$151,AO$131,FALSE)=0,"",VLOOKUP(D19,$AK$133:$AO$151,AO$131,FALSE))</f>
        <v/>
      </c>
      <c r="O19" s="125"/>
      <c r="V19" s="26">
        <f t="shared" ref="V19:V27" si="2">IF(OR(D19=$AK$143,D19=$AK$144),1,0)</f>
        <v>0</v>
      </c>
      <c r="W19" s="26">
        <f t="shared" ref="W19:W27" si="3">IF(D19=$AK$133,0,1)</f>
        <v>0</v>
      </c>
      <c r="X19" s="26">
        <f t="shared" ref="X19:X27" si="4">IF(AND(N19&lt;&gt;"",N19&lt;&gt;$AS$137),1,0)</f>
        <v>0</v>
      </c>
      <c r="AE19" s="26" t="str">
        <f t="shared" ref="AE19:AE24" si="5">VLOOKUP(D19,$AK$133:$AX$151,$AW$131,FALSE)</f>
        <v>tom</v>
      </c>
      <c r="AF19" s="26" t="str">
        <f t="shared" ref="AF19:AF24" si="6">IF(OR(D19=$AK$143,D19=$AK$144),AE19&amp;", "&amp;K19,AE19)</f>
        <v>tom</v>
      </c>
      <c r="AG19" s="38">
        <f>VLOOKUP($AF19,Utslippsdata!$B$20:$H$46,Utslippsdata!C$16,FALSE)</f>
        <v>0</v>
      </c>
      <c r="AH19" s="38">
        <f>VLOOKUP($AF19,Utslippsdata!$B$20:$H$46,Utslippsdata!D$16,FALSE)</f>
        <v>0</v>
      </c>
      <c r="AI19" s="38">
        <f>VLOOKUP($AF19,Utslippsdata!$B$20:$H$46,Utslippsdata!E$16,FALSE)</f>
        <v>0</v>
      </c>
      <c r="AJ19" s="38">
        <f>VLOOKUP($AF19,Utslippsdata!$B$20:$H$46,Utslippsdata!F$16,FALSE)</f>
        <v>0</v>
      </c>
      <c r="AK19" s="38">
        <f>VLOOKUP($AF19,Utslippsdata!$B$20:$H$46,Utslippsdata!G$16,FALSE)</f>
        <v>0</v>
      </c>
      <c r="AM19" s="39" t="str">
        <f t="shared" ref="AM19:AM24" si="7">AE19</f>
        <v>tom</v>
      </c>
      <c r="AN19" s="40">
        <f t="shared" ref="AN19:AR24" si="8">$F19*AG19</f>
        <v>0</v>
      </c>
      <c r="AO19" s="40">
        <f t="shared" si="8"/>
        <v>0</v>
      </c>
      <c r="AP19" s="40">
        <f t="shared" si="8"/>
        <v>0</v>
      </c>
      <c r="AQ19" s="40">
        <f t="shared" si="8"/>
        <v>0</v>
      </c>
      <c r="AR19" s="41">
        <f t="shared" si="8"/>
        <v>0</v>
      </c>
      <c r="AS19" s="42">
        <f t="shared" ref="AS19:AW24" si="9">$H19*AG19</f>
        <v>0</v>
      </c>
      <c r="AT19" s="43">
        <f t="shared" si="9"/>
        <v>0</v>
      </c>
      <c r="AU19" s="43">
        <f t="shared" si="9"/>
        <v>0</v>
      </c>
      <c r="AV19" s="43">
        <f t="shared" si="9"/>
        <v>0</v>
      </c>
      <c r="AW19" s="44">
        <f t="shared" si="9"/>
        <v>0</v>
      </c>
      <c r="AX19" s="40">
        <f t="shared" ref="AX19:BB24" si="10">$J19*AG19</f>
        <v>0</v>
      </c>
      <c r="AY19" s="40">
        <f t="shared" si="10"/>
        <v>0</v>
      </c>
      <c r="AZ19" s="40">
        <f t="shared" si="10"/>
        <v>0</v>
      </c>
      <c r="BA19" s="40">
        <f t="shared" si="10"/>
        <v>0</v>
      </c>
      <c r="BB19" s="40">
        <f t="shared" si="10"/>
        <v>0</v>
      </c>
    </row>
    <row r="20" spans="3:54">
      <c r="C20" s="107" t="s">
        <v>174</v>
      </c>
      <c r="D20" s="108" t="s">
        <v>173</v>
      </c>
      <c r="E20" s="123"/>
      <c r="F20" s="123"/>
      <c r="G20" s="123"/>
      <c r="H20" s="123"/>
      <c r="I20" s="123"/>
      <c r="J20" s="123"/>
      <c r="K20" s="123"/>
      <c r="L20" s="107" t="str">
        <f t="shared" si="0"/>
        <v/>
      </c>
      <c r="M20" s="123"/>
      <c r="N20" s="124" t="str">
        <f t="shared" si="1"/>
        <v/>
      </c>
      <c r="O20" s="125"/>
      <c r="V20" s="26">
        <f t="shared" si="2"/>
        <v>0</v>
      </c>
      <c r="W20" s="26">
        <f t="shared" si="3"/>
        <v>0</v>
      </c>
      <c r="X20" s="26">
        <f t="shared" si="4"/>
        <v>0</v>
      </c>
      <c r="AE20" s="26" t="str">
        <f t="shared" si="5"/>
        <v>tom</v>
      </c>
      <c r="AF20" s="26" t="str">
        <f t="shared" si="6"/>
        <v>tom</v>
      </c>
      <c r="AG20" s="38">
        <f>VLOOKUP($AF20,Utslippsdata!$B$20:$H$46,Utslippsdata!C$16,FALSE)</f>
        <v>0</v>
      </c>
      <c r="AH20" s="38">
        <f>VLOOKUP($AF20,Utslippsdata!$B$20:$H$46,Utslippsdata!D$16,FALSE)</f>
        <v>0</v>
      </c>
      <c r="AI20" s="38">
        <f>VLOOKUP($AF20,Utslippsdata!$B$20:$H$46,Utslippsdata!E$16,FALSE)</f>
        <v>0</v>
      </c>
      <c r="AJ20" s="38">
        <f>VLOOKUP($AF20,Utslippsdata!$B$20:$H$46,Utslippsdata!F$16,FALSE)</f>
        <v>0</v>
      </c>
      <c r="AK20" s="38">
        <f>VLOOKUP($AF20,Utslippsdata!$B$20:$H$46,Utslippsdata!G$16,FALSE)</f>
        <v>0</v>
      </c>
      <c r="AM20" s="45" t="str">
        <f t="shared" si="7"/>
        <v>tom</v>
      </c>
      <c r="AN20" s="40">
        <f t="shared" si="8"/>
        <v>0</v>
      </c>
      <c r="AO20" s="40">
        <f t="shared" si="8"/>
        <v>0</v>
      </c>
      <c r="AP20" s="40">
        <f t="shared" si="8"/>
        <v>0</v>
      </c>
      <c r="AQ20" s="40">
        <f t="shared" si="8"/>
        <v>0</v>
      </c>
      <c r="AR20" s="41">
        <f t="shared" si="8"/>
        <v>0</v>
      </c>
      <c r="AS20" s="46">
        <f t="shared" si="9"/>
        <v>0</v>
      </c>
      <c r="AT20" s="40">
        <f t="shared" si="9"/>
        <v>0</v>
      </c>
      <c r="AU20" s="40">
        <f t="shared" si="9"/>
        <v>0</v>
      </c>
      <c r="AV20" s="40">
        <f t="shared" si="9"/>
        <v>0</v>
      </c>
      <c r="AW20" s="47">
        <f t="shared" si="9"/>
        <v>0</v>
      </c>
      <c r="AX20" s="40">
        <f t="shared" si="10"/>
        <v>0</v>
      </c>
      <c r="AY20" s="40">
        <f t="shared" si="10"/>
        <v>0</v>
      </c>
      <c r="AZ20" s="40">
        <f t="shared" si="10"/>
        <v>0</v>
      </c>
      <c r="BA20" s="40">
        <f t="shared" si="10"/>
        <v>0</v>
      </c>
      <c r="BB20" s="40">
        <f t="shared" si="10"/>
        <v>0</v>
      </c>
    </row>
    <row r="21" spans="3:54">
      <c r="C21" s="107" t="s">
        <v>175</v>
      </c>
      <c r="D21" s="108" t="s">
        <v>173</v>
      </c>
      <c r="E21" s="123"/>
      <c r="F21" s="123"/>
      <c r="G21" s="123"/>
      <c r="H21" s="123"/>
      <c r="I21" s="123"/>
      <c r="J21" s="123"/>
      <c r="K21" s="123"/>
      <c r="L21" s="107" t="str">
        <f t="shared" si="0"/>
        <v/>
      </c>
      <c r="M21" s="123"/>
      <c r="N21" s="124" t="str">
        <f t="shared" si="1"/>
        <v/>
      </c>
      <c r="O21" s="125"/>
      <c r="V21" s="26">
        <f t="shared" si="2"/>
        <v>0</v>
      </c>
      <c r="W21" s="26">
        <f t="shared" si="3"/>
        <v>0</v>
      </c>
      <c r="X21" s="26">
        <f t="shared" si="4"/>
        <v>0</v>
      </c>
      <c r="AE21" s="26" t="str">
        <f t="shared" si="5"/>
        <v>tom</v>
      </c>
      <c r="AF21" s="26" t="str">
        <f t="shared" si="6"/>
        <v>tom</v>
      </c>
      <c r="AG21" s="38">
        <f>VLOOKUP($AF21,Utslippsdata!$B$20:$H$46,Utslippsdata!C$16,FALSE)</f>
        <v>0</v>
      </c>
      <c r="AH21" s="38">
        <f>VLOOKUP($AF21,Utslippsdata!$B$20:$H$46,Utslippsdata!D$16,FALSE)</f>
        <v>0</v>
      </c>
      <c r="AI21" s="38">
        <f>VLOOKUP($AF21,Utslippsdata!$B$20:$H$46,Utslippsdata!E$16,FALSE)</f>
        <v>0</v>
      </c>
      <c r="AJ21" s="38">
        <f>VLOOKUP($AF21,Utslippsdata!$B$20:$H$46,Utslippsdata!F$16,FALSE)</f>
        <v>0</v>
      </c>
      <c r="AK21" s="38">
        <f>VLOOKUP($AF21,Utslippsdata!$B$20:$H$46,Utslippsdata!G$16,FALSE)</f>
        <v>0</v>
      </c>
      <c r="AM21" s="45" t="str">
        <f t="shared" si="7"/>
        <v>tom</v>
      </c>
      <c r="AN21" s="40">
        <f t="shared" si="8"/>
        <v>0</v>
      </c>
      <c r="AO21" s="40">
        <f t="shared" si="8"/>
        <v>0</v>
      </c>
      <c r="AP21" s="40">
        <f t="shared" si="8"/>
        <v>0</v>
      </c>
      <c r="AQ21" s="40">
        <f t="shared" si="8"/>
        <v>0</v>
      </c>
      <c r="AR21" s="41">
        <f t="shared" si="8"/>
        <v>0</v>
      </c>
      <c r="AS21" s="46">
        <f t="shared" si="9"/>
        <v>0</v>
      </c>
      <c r="AT21" s="40">
        <f t="shared" si="9"/>
        <v>0</v>
      </c>
      <c r="AU21" s="40">
        <f t="shared" si="9"/>
        <v>0</v>
      </c>
      <c r="AV21" s="40">
        <f t="shared" si="9"/>
        <v>0</v>
      </c>
      <c r="AW21" s="47">
        <f t="shared" si="9"/>
        <v>0</v>
      </c>
      <c r="AX21" s="40">
        <f t="shared" si="10"/>
        <v>0</v>
      </c>
      <c r="AY21" s="40">
        <f t="shared" si="10"/>
        <v>0</v>
      </c>
      <c r="AZ21" s="40">
        <f t="shared" si="10"/>
        <v>0</v>
      </c>
      <c r="BA21" s="40">
        <f t="shared" si="10"/>
        <v>0</v>
      </c>
      <c r="BB21" s="40">
        <f t="shared" si="10"/>
        <v>0</v>
      </c>
    </row>
    <row r="22" spans="3:54">
      <c r="C22" s="107" t="s">
        <v>176</v>
      </c>
      <c r="D22" s="108" t="s">
        <v>173</v>
      </c>
      <c r="E22" s="123"/>
      <c r="F22" s="123"/>
      <c r="G22" s="123"/>
      <c r="H22" s="123"/>
      <c r="I22" s="123"/>
      <c r="J22" s="123"/>
      <c r="K22" s="123"/>
      <c r="L22" s="107" t="str">
        <f t="shared" si="0"/>
        <v/>
      </c>
      <c r="M22" s="123"/>
      <c r="N22" s="124" t="str">
        <f t="shared" si="1"/>
        <v/>
      </c>
      <c r="O22" s="125"/>
      <c r="V22" s="26">
        <f t="shared" si="2"/>
        <v>0</v>
      </c>
      <c r="W22" s="26">
        <f t="shared" si="3"/>
        <v>0</v>
      </c>
      <c r="X22" s="26">
        <f t="shared" si="4"/>
        <v>0</v>
      </c>
      <c r="AE22" s="26" t="str">
        <f t="shared" si="5"/>
        <v>tom</v>
      </c>
      <c r="AF22" s="26" t="str">
        <f t="shared" si="6"/>
        <v>tom</v>
      </c>
      <c r="AG22" s="38">
        <f>VLOOKUP($AF22,Utslippsdata!$B$20:$H$46,Utslippsdata!C$16,FALSE)</f>
        <v>0</v>
      </c>
      <c r="AH22" s="38">
        <f>VLOOKUP($AF22,Utslippsdata!$B$20:$H$46,Utslippsdata!D$16,FALSE)</f>
        <v>0</v>
      </c>
      <c r="AI22" s="38">
        <f>VLOOKUP($AF22,Utslippsdata!$B$20:$H$46,Utslippsdata!E$16,FALSE)</f>
        <v>0</v>
      </c>
      <c r="AJ22" s="38">
        <f>VLOOKUP($AF22,Utslippsdata!$B$20:$H$46,Utslippsdata!F$16,FALSE)</f>
        <v>0</v>
      </c>
      <c r="AK22" s="38">
        <f>VLOOKUP($AF22,Utslippsdata!$B$20:$H$46,Utslippsdata!G$16,FALSE)</f>
        <v>0</v>
      </c>
      <c r="AM22" s="45" t="str">
        <f t="shared" si="7"/>
        <v>tom</v>
      </c>
      <c r="AN22" s="40">
        <f t="shared" si="8"/>
        <v>0</v>
      </c>
      <c r="AO22" s="40">
        <f t="shared" si="8"/>
        <v>0</v>
      </c>
      <c r="AP22" s="40">
        <f t="shared" si="8"/>
        <v>0</v>
      </c>
      <c r="AQ22" s="40">
        <f t="shared" si="8"/>
        <v>0</v>
      </c>
      <c r="AR22" s="41">
        <f t="shared" si="8"/>
        <v>0</v>
      </c>
      <c r="AS22" s="46">
        <f t="shared" si="9"/>
        <v>0</v>
      </c>
      <c r="AT22" s="40">
        <f t="shared" si="9"/>
        <v>0</v>
      </c>
      <c r="AU22" s="40">
        <f t="shared" si="9"/>
        <v>0</v>
      </c>
      <c r="AV22" s="40">
        <f t="shared" si="9"/>
        <v>0</v>
      </c>
      <c r="AW22" s="47">
        <f t="shared" si="9"/>
        <v>0</v>
      </c>
      <c r="AX22" s="40">
        <f t="shared" si="10"/>
        <v>0</v>
      </c>
      <c r="AY22" s="40">
        <f t="shared" si="10"/>
        <v>0</v>
      </c>
      <c r="AZ22" s="40">
        <f t="shared" si="10"/>
        <v>0</v>
      </c>
      <c r="BA22" s="40">
        <f t="shared" si="10"/>
        <v>0</v>
      </c>
      <c r="BB22" s="40">
        <f t="shared" si="10"/>
        <v>0</v>
      </c>
    </row>
    <row r="23" spans="3:54">
      <c r="C23" s="107" t="s">
        <v>177</v>
      </c>
      <c r="D23" s="108" t="s">
        <v>173</v>
      </c>
      <c r="E23" s="123"/>
      <c r="F23" s="123"/>
      <c r="G23" s="123"/>
      <c r="H23" s="123"/>
      <c r="I23" s="123"/>
      <c r="J23" s="123"/>
      <c r="K23" s="123"/>
      <c r="L23" s="107" t="str">
        <f t="shared" si="0"/>
        <v/>
      </c>
      <c r="M23" s="123"/>
      <c r="N23" s="124" t="str">
        <f t="shared" si="1"/>
        <v/>
      </c>
      <c r="O23" s="125"/>
      <c r="V23" s="26">
        <f t="shared" si="2"/>
        <v>0</v>
      </c>
      <c r="W23" s="26">
        <f t="shared" si="3"/>
        <v>0</v>
      </c>
      <c r="X23" s="26">
        <f t="shared" si="4"/>
        <v>0</v>
      </c>
      <c r="AE23" s="26" t="str">
        <f t="shared" si="5"/>
        <v>tom</v>
      </c>
      <c r="AF23" s="26" t="str">
        <f t="shared" si="6"/>
        <v>tom</v>
      </c>
      <c r="AG23" s="38">
        <f>VLOOKUP($AF23,Utslippsdata!$B$20:$H$46,Utslippsdata!C$16,FALSE)</f>
        <v>0</v>
      </c>
      <c r="AH23" s="38">
        <f>VLOOKUP($AF23,Utslippsdata!$B$20:$H$46,Utslippsdata!D$16,FALSE)</f>
        <v>0</v>
      </c>
      <c r="AI23" s="38">
        <f>VLOOKUP($AF23,Utslippsdata!$B$20:$H$46,Utslippsdata!E$16,FALSE)</f>
        <v>0</v>
      </c>
      <c r="AJ23" s="38">
        <f>VLOOKUP($AF23,Utslippsdata!$B$20:$H$46,Utslippsdata!F$16,FALSE)</f>
        <v>0</v>
      </c>
      <c r="AK23" s="38">
        <f>VLOOKUP($AF23,Utslippsdata!$B$20:$H$46,Utslippsdata!G$16,FALSE)</f>
        <v>0</v>
      </c>
      <c r="AM23" s="45" t="str">
        <f t="shared" si="7"/>
        <v>tom</v>
      </c>
      <c r="AN23" s="40">
        <f t="shared" si="8"/>
        <v>0</v>
      </c>
      <c r="AO23" s="40">
        <f t="shared" si="8"/>
        <v>0</v>
      </c>
      <c r="AP23" s="40">
        <f t="shared" si="8"/>
        <v>0</v>
      </c>
      <c r="AQ23" s="40">
        <f t="shared" si="8"/>
        <v>0</v>
      </c>
      <c r="AR23" s="41">
        <f t="shared" si="8"/>
        <v>0</v>
      </c>
      <c r="AS23" s="46">
        <f t="shared" si="9"/>
        <v>0</v>
      </c>
      <c r="AT23" s="40">
        <f t="shared" si="9"/>
        <v>0</v>
      </c>
      <c r="AU23" s="40">
        <f t="shared" si="9"/>
        <v>0</v>
      </c>
      <c r="AV23" s="40">
        <f t="shared" si="9"/>
        <v>0</v>
      </c>
      <c r="AW23" s="47">
        <f t="shared" si="9"/>
        <v>0</v>
      </c>
      <c r="AX23" s="40">
        <f t="shared" si="10"/>
        <v>0</v>
      </c>
      <c r="AY23" s="40">
        <f t="shared" si="10"/>
        <v>0</v>
      </c>
      <c r="AZ23" s="40">
        <f t="shared" si="10"/>
        <v>0</v>
      </c>
      <c r="BA23" s="40">
        <f t="shared" si="10"/>
        <v>0</v>
      </c>
      <c r="BB23" s="40">
        <f t="shared" si="10"/>
        <v>0</v>
      </c>
    </row>
    <row r="24" spans="3:54">
      <c r="C24" s="107" t="s">
        <v>178</v>
      </c>
      <c r="D24" s="108" t="s">
        <v>173</v>
      </c>
      <c r="E24" s="123"/>
      <c r="F24" s="123"/>
      <c r="G24" s="123"/>
      <c r="H24" s="123"/>
      <c r="I24" s="123"/>
      <c r="J24" s="123"/>
      <c r="K24" s="123"/>
      <c r="L24" s="107" t="str">
        <f t="shared" si="0"/>
        <v/>
      </c>
      <c r="M24" s="123"/>
      <c r="N24" s="124" t="str">
        <f t="shared" si="1"/>
        <v/>
      </c>
      <c r="O24" s="125"/>
      <c r="V24" s="26">
        <f t="shared" si="2"/>
        <v>0</v>
      </c>
      <c r="W24" s="26">
        <f t="shared" si="3"/>
        <v>0</v>
      </c>
      <c r="X24" s="26">
        <f t="shared" si="4"/>
        <v>0</v>
      </c>
      <c r="AE24" s="26" t="str">
        <f t="shared" si="5"/>
        <v>tom</v>
      </c>
      <c r="AF24" s="26" t="str">
        <f t="shared" si="6"/>
        <v>tom</v>
      </c>
      <c r="AG24" s="38">
        <f>VLOOKUP($AF24,Utslippsdata!$B$20:$H$46,Utslippsdata!C$16,FALSE)</f>
        <v>0</v>
      </c>
      <c r="AH24" s="38">
        <f>VLOOKUP($AF24,Utslippsdata!$B$20:$H$46,Utslippsdata!D$16,FALSE)</f>
        <v>0</v>
      </c>
      <c r="AI24" s="38">
        <f>VLOOKUP($AF24,Utslippsdata!$B$20:$H$46,Utslippsdata!E$16,FALSE)</f>
        <v>0</v>
      </c>
      <c r="AJ24" s="38">
        <f>VLOOKUP($AF24,Utslippsdata!$B$20:$H$46,Utslippsdata!F$16,FALSE)</f>
        <v>0</v>
      </c>
      <c r="AK24" s="38">
        <f>VLOOKUP($AF24,Utslippsdata!$B$20:$H$46,Utslippsdata!G$16,FALSE)</f>
        <v>0</v>
      </c>
      <c r="AM24" s="45" t="str">
        <f t="shared" si="7"/>
        <v>tom</v>
      </c>
      <c r="AN24" s="40">
        <f t="shared" si="8"/>
        <v>0</v>
      </c>
      <c r="AO24" s="40">
        <f t="shared" si="8"/>
        <v>0</v>
      </c>
      <c r="AP24" s="40">
        <f t="shared" si="8"/>
        <v>0</v>
      </c>
      <c r="AQ24" s="40">
        <f t="shared" si="8"/>
        <v>0</v>
      </c>
      <c r="AR24" s="41">
        <f t="shared" si="8"/>
        <v>0</v>
      </c>
      <c r="AS24" s="46">
        <f t="shared" si="9"/>
        <v>0</v>
      </c>
      <c r="AT24" s="40">
        <f t="shared" si="9"/>
        <v>0</v>
      </c>
      <c r="AU24" s="40">
        <f t="shared" si="9"/>
        <v>0</v>
      </c>
      <c r="AV24" s="40">
        <f t="shared" si="9"/>
        <v>0</v>
      </c>
      <c r="AW24" s="47">
        <f t="shared" si="9"/>
        <v>0</v>
      </c>
      <c r="AX24" s="40">
        <f t="shared" si="10"/>
        <v>0</v>
      </c>
      <c r="AY24" s="40">
        <f t="shared" si="10"/>
        <v>0</v>
      </c>
      <c r="AZ24" s="40">
        <f t="shared" si="10"/>
        <v>0</v>
      </c>
      <c r="BA24" s="40">
        <f t="shared" si="10"/>
        <v>0</v>
      </c>
      <c r="BB24" s="40">
        <f t="shared" si="10"/>
        <v>0</v>
      </c>
    </row>
    <row r="25" spans="3:54" ht="14.4" thickBot="1">
      <c r="C25" s="107" t="s">
        <v>179</v>
      </c>
      <c r="D25" s="107" t="s">
        <v>180</v>
      </c>
      <c r="E25" s="335"/>
      <c r="F25" s="335"/>
      <c r="G25" s="336"/>
      <c r="H25" s="337"/>
      <c r="I25" s="345"/>
      <c r="J25" s="346"/>
      <c r="K25" s="126"/>
      <c r="L25" s="127"/>
      <c r="M25" s="127"/>
      <c r="N25" s="128"/>
      <c r="O25" s="125"/>
      <c r="P25" s="48"/>
      <c r="Q25" s="48"/>
      <c r="T25" s="48"/>
      <c r="U25" s="48"/>
      <c r="V25" s="26">
        <f t="shared" si="2"/>
        <v>0</v>
      </c>
      <c r="W25" s="26">
        <f t="shared" si="3"/>
        <v>1</v>
      </c>
      <c r="X25" s="26">
        <f t="shared" si="4"/>
        <v>0</v>
      </c>
      <c r="AM25" s="49" t="s">
        <v>179</v>
      </c>
      <c r="AN25" s="50">
        <f>$E$25*$E$26*(Utslippsdata!C54+Utslippsdata!C55)+$E$26*Utslippsdata!C56</f>
        <v>0</v>
      </c>
      <c r="AO25" s="51">
        <f>$E$25*$E$26*(Utslippsdata!D54+Utslippsdata!D55)+$E$26*Utslippsdata!D56</f>
        <v>0</v>
      </c>
      <c r="AP25" s="51">
        <f>$E$25*$E$26*(Utslippsdata!E54+Utslippsdata!E55)+$E$26*Utslippsdata!E56</f>
        <v>0</v>
      </c>
      <c r="AQ25" s="51">
        <f>$E$25*$E$26*(Utslippsdata!F54+Utslippsdata!F55)+$E$26*Utslippsdata!F56</f>
        <v>0</v>
      </c>
      <c r="AR25" s="52">
        <f>$E$25*$E$26*(Utslippsdata!G54+Utslippsdata!G55)+$E$26*Utslippsdata!G56</f>
        <v>0</v>
      </c>
      <c r="AS25" s="53">
        <f>$G$25*$G$26*(Utslippsdata!C54+Utslippsdata!C55)+$G$26*Utslippsdata!C56</f>
        <v>0</v>
      </c>
      <c r="AT25" s="51">
        <f>$G$25*$G$26*(Utslippsdata!D54+Utslippsdata!D55)+$G$26*Utslippsdata!D56</f>
        <v>0</v>
      </c>
      <c r="AU25" s="51">
        <f>$G$25*$G$26*(Utslippsdata!E54+Utslippsdata!E55)+$G$26*Utslippsdata!E56</f>
        <v>0</v>
      </c>
      <c r="AV25" s="51">
        <f>$G$25*$G$26*(Utslippsdata!F54+Utslippsdata!F55)+$G$26*Utslippsdata!F56</f>
        <v>0</v>
      </c>
      <c r="AW25" s="54">
        <f>$G$25*$G$26*(Utslippsdata!G54+Utslippsdata!G55)+$G$26*Utslippsdata!G56</f>
        <v>0</v>
      </c>
      <c r="AX25" s="55"/>
      <c r="AY25" s="56"/>
      <c r="AZ25" s="56"/>
      <c r="BA25" s="56"/>
      <c r="BB25" s="57"/>
    </row>
    <row r="26" spans="3:54" ht="14.1" thickBot="1">
      <c r="C26" s="107" t="s">
        <v>181</v>
      </c>
      <c r="D26" s="107" t="s">
        <v>182</v>
      </c>
      <c r="E26" s="335"/>
      <c r="F26" s="335"/>
      <c r="G26" s="336"/>
      <c r="H26" s="337"/>
      <c r="I26" s="129"/>
      <c r="J26" s="130"/>
      <c r="K26" s="131"/>
      <c r="L26" s="109"/>
      <c r="M26" s="109"/>
      <c r="N26" s="132"/>
      <c r="O26" s="125"/>
      <c r="P26" s="48"/>
      <c r="Q26" s="48"/>
      <c r="T26" s="48"/>
      <c r="U26" s="48"/>
      <c r="V26" s="26">
        <f t="shared" si="2"/>
        <v>0</v>
      </c>
      <c r="W26" s="26">
        <f t="shared" si="3"/>
        <v>1</v>
      </c>
      <c r="X26" s="26">
        <f t="shared" si="4"/>
        <v>0</v>
      </c>
      <c r="AM26" s="59" t="s">
        <v>183</v>
      </c>
      <c r="AN26" s="60">
        <f t="shared" ref="AN26:BB26" si="11">SUM(AN19:AN25)</f>
        <v>0</v>
      </c>
      <c r="AO26" s="61">
        <f t="shared" si="11"/>
        <v>0</v>
      </c>
      <c r="AP26" s="61">
        <f t="shared" si="11"/>
        <v>0</v>
      </c>
      <c r="AQ26" s="61">
        <f t="shared" si="11"/>
        <v>0</v>
      </c>
      <c r="AR26" s="62">
        <f t="shared" si="11"/>
        <v>0</v>
      </c>
      <c r="AS26" s="60">
        <f t="shared" si="11"/>
        <v>0</v>
      </c>
      <c r="AT26" s="61">
        <f t="shared" si="11"/>
        <v>0</v>
      </c>
      <c r="AU26" s="61">
        <f t="shared" si="11"/>
        <v>0</v>
      </c>
      <c r="AV26" s="61">
        <f t="shared" si="11"/>
        <v>0</v>
      </c>
      <c r="AW26" s="62">
        <f t="shared" si="11"/>
        <v>0</v>
      </c>
      <c r="AX26" s="60">
        <f t="shared" si="11"/>
        <v>0</v>
      </c>
      <c r="AY26" s="61">
        <f t="shared" si="11"/>
        <v>0</v>
      </c>
      <c r="AZ26" s="61">
        <f t="shared" si="11"/>
        <v>0</v>
      </c>
      <c r="BA26" s="61">
        <f t="shared" si="11"/>
        <v>0</v>
      </c>
      <c r="BB26" s="62">
        <f t="shared" si="11"/>
        <v>0</v>
      </c>
    </row>
    <row r="27" spans="3:54">
      <c r="C27" s="124" t="s">
        <v>184</v>
      </c>
      <c r="D27" s="133"/>
      <c r="E27" s="400"/>
      <c r="F27" s="401"/>
      <c r="G27" s="336"/>
      <c r="H27" s="337"/>
      <c r="I27" s="336"/>
      <c r="J27" s="337"/>
      <c r="K27" s="134"/>
      <c r="L27" s="135"/>
      <c r="M27" s="135"/>
      <c r="N27" s="136"/>
      <c r="O27" s="125"/>
      <c r="V27" s="26">
        <f t="shared" si="2"/>
        <v>0</v>
      </c>
      <c r="W27" s="26">
        <f t="shared" si="3"/>
        <v>1</v>
      </c>
      <c r="X27" s="26">
        <f t="shared" si="4"/>
        <v>0</v>
      </c>
    </row>
    <row r="28" spans="3:54">
      <c r="C28" s="109"/>
      <c r="D28" s="109"/>
      <c r="E28" s="109"/>
      <c r="F28" s="109"/>
      <c r="G28" s="109"/>
      <c r="H28" s="109"/>
      <c r="I28" s="109"/>
      <c r="J28" s="109"/>
      <c r="K28" s="109"/>
      <c r="L28" s="109"/>
      <c r="M28" s="109"/>
      <c r="N28" s="109"/>
      <c r="O28" s="109"/>
      <c r="AM28" s="26" t="s">
        <v>185</v>
      </c>
      <c r="AN28" s="26"/>
      <c r="AO28" s="26"/>
      <c r="AP28" s="26"/>
      <c r="AQ28" s="26"/>
      <c r="AR28" s="26"/>
      <c r="AS28" s="26"/>
      <c r="AT28" s="26"/>
      <c r="AU28" s="26"/>
      <c r="AV28" s="26"/>
      <c r="AW28" s="26"/>
      <c r="AX28" s="26">
        <f ca="1">YEAR(TODAY())</f>
        <v>2024</v>
      </c>
      <c r="AY28" s="63">
        <f>DATE('Generelt om prosjektet'!C26,1,1)</f>
        <v>45658</v>
      </c>
      <c r="AZ28" s="26">
        <f>YEAR(AY28)</f>
        <v>2025</v>
      </c>
      <c r="BA28" s="26"/>
    </row>
    <row r="29" spans="3:54">
      <c r="C29" s="118" t="s">
        <v>186</v>
      </c>
      <c r="D29" s="118"/>
      <c r="E29" s="118" t="s">
        <v>187</v>
      </c>
      <c r="F29" s="118" t="s">
        <v>164</v>
      </c>
      <c r="G29" s="137" t="s">
        <v>90</v>
      </c>
      <c r="H29" s="138"/>
      <c r="I29" s="138"/>
      <c r="J29" s="117"/>
      <c r="K29" s="109"/>
      <c r="L29" s="109"/>
      <c r="M29" s="109"/>
      <c r="N29" s="109"/>
      <c r="O29" s="109"/>
      <c r="U29" s="25" t="s">
        <v>188</v>
      </c>
      <c r="V29" s="26">
        <f>SUM(E19:F22)</f>
        <v>0</v>
      </c>
      <c r="W29" s="26">
        <f>SUM(G19:H22)</f>
        <v>0</v>
      </c>
      <c r="X29" s="26">
        <f>SUM(I19:J22)</f>
        <v>0</v>
      </c>
      <c r="AM29" s="26" t="s">
        <v>189</v>
      </c>
      <c r="AN29" s="26"/>
      <c r="AO29" s="26"/>
      <c r="AP29" s="26"/>
      <c r="AQ29" s="26"/>
      <c r="AR29" s="26"/>
      <c r="AS29" s="26"/>
      <c r="AT29" s="26"/>
      <c r="AU29" s="26"/>
      <c r="AV29" s="26"/>
      <c r="AW29" s="26"/>
      <c r="AX29" s="26">
        <f ca="1">IF(AZ28&gt;AX28,AZ28,AX28)</f>
        <v>2025</v>
      </c>
      <c r="AY29" s="26"/>
      <c r="AZ29" s="26"/>
      <c r="BA29" s="26"/>
    </row>
    <row r="30" spans="3:54">
      <c r="C30" s="111" t="s">
        <v>190</v>
      </c>
      <c r="D30" s="154" t="s">
        <v>191</v>
      </c>
      <c r="E30" s="270">
        <v>1.95</v>
      </c>
      <c r="F30" s="111" t="s">
        <v>192</v>
      </c>
      <c r="G30" s="397"/>
      <c r="H30" s="398"/>
      <c r="I30" s="398"/>
      <c r="J30" s="399"/>
      <c r="U30" s="25" t="s">
        <v>193</v>
      </c>
      <c r="V30" s="26">
        <f>SUM(E23:H24)</f>
        <v>0</v>
      </c>
      <c r="W30" s="26"/>
      <c r="X30" s="26"/>
      <c r="AM30" s="26" t="s">
        <v>194</v>
      </c>
      <c r="AN30" s="26"/>
      <c r="AO30" s="26"/>
      <c r="AP30" s="26"/>
      <c r="AQ30" s="26"/>
      <c r="AR30" s="26"/>
      <c r="AS30" s="26"/>
      <c r="AT30" s="26"/>
      <c r="AU30" s="26"/>
      <c r="AV30" s="26"/>
      <c r="AW30" s="26"/>
      <c r="AX30" s="63">
        <f>DATE(I27,1,1)</f>
        <v>1</v>
      </c>
      <c r="AY30" s="26"/>
      <c r="AZ30" s="26">
        <f>IF(I27="",0,YEAR(AX30))</f>
        <v>0</v>
      </c>
      <c r="BA30" s="26"/>
    </row>
    <row r="31" spans="3:54">
      <c r="C31" s="109"/>
      <c r="D31" s="109"/>
      <c r="E31" s="109"/>
      <c r="F31" s="109"/>
      <c r="G31" s="378"/>
      <c r="H31" s="378"/>
      <c r="I31" s="378"/>
      <c r="J31" s="378"/>
      <c r="AM31" s="26" t="s">
        <v>195</v>
      </c>
      <c r="AN31" s="26"/>
      <c r="AO31" s="26"/>
      <c r="AP31" s="26"/>
      <c r="AQ31" s="26"/>
      <c r="AR31" s="26"/>
      <c r="AS31" s="26"/>
      <c r="AT31" s="26"/>
      <c r="AU31" s="26"/>
      <c r="AV31" s="26"/>
      <c r="AW31" s="26"/>
      <c r="AX31" s="26">
        <f ca="1">AX29-AZ30</f>
        <v>2025</v>
      </c>
      <c r="AY31" s="26" t="s">
        <v>196</v>
      </c>
      <c r="AZ31" s="26">
        <f>'Generelt om prosjektet'!C24</f>
        <v>50</v>
      </c>
      <c r="BA31" s="26" t="s">
        <v>196</v>
      </c>
    </row>
    <row r="32" spans="3:54">
      <c r="C32" s="109"/>
      <c r="D32" s="109"/>
      <c r="E32" s="109"/>
      <c r="F32" s="109"/>
      <c r="G32" s="378"/>
      <c r="H32" s="378"/>
      <c r="I32" s="378"/>
      <c r="J32" s="378"/>
      <c r="AM32" s="26" t="s">
        <v>197</v>
      </c>
      <c r="AN32" s="26"/>
      <c r="AO32" s="26"/>
      <c r="AP32" s="26"/>
      <c r="AQ32" s="26"/>
      <c r="AR32" s="26"/>
      <c r="AS32" s="26"/>
      <c r="AT32" s="26"/>
      <c r="AU32" s="26"/>
      <c r="AV32" s="26"/>
      <c r="AW32" s="26"/>
      <c r="AX32" s="26">
        <f ca="1">'Generelt om prosjektet'!C24-AX31</f>
        <v>-1975</v>
      </c>
      <c r="AY32" s="26" t="s">
        <v>196</v>
      </c>
      <c r="AZ32" s="26"/>
      <c r="BA32" s="26"/>
    </row>
    <row r="33" spans="3:53" ht="14.1" thickBot="1">
      <c r="C33" s="139" t="s">
        <v>198</v>
      </c>
      <c r="D33" s="118" t="s">
        <v>4</v>
      </c>
      <c r="E33" s="118" t="s">
        <v>199</v>
      </c>
      <c r="F33" s="118" t="s">
        <v>164</v>
      </c>
      <c r="G33" s="137" t="s">
        <v>90</v>
      </c>
      <c r="H33" s="138"/>
      <c r="I33" s="138"/>
      <c r="J33" s="117"/>
      <c r="AE33" s="27" t="s">
        <v>200</v>
      </c>
      <c r="AF33" s="28"/>
      <c r="AG33" s="29"/>
      <c r="AM33" s="26" t="s">
        <v>201</v>
      </c>
      <c r="AX33" s="64">
        <f ca="1">IF($AX$31&lt;$AZ$31,AX26/$AZ$31*$AX$32,0)</f>
        <v>0</v>
      </c>
      <c r="AY33" s="64">
        <f ca="1">IF($AX$31&lt;$AZ$31,AY26/$AZ$31*$AX$32,0)</f>
        <v>0</v>
      </c>
      <c r="AZ33" s="64">
        <f ca="1">IF($AX$31&lt;$AZ$31,AZ26/$AZ$31*$AX$32,0)</f>
        <v>0</v>
      </c>
      <c r="BA33" s="64">
        <f ca="1">IF($AX$31&lt;$AZ$31,BA26/$AZ$31*$AX$32,0)</f>
        <v>0</v>
      </c>
    </row>
    <row r="34" spans="3:53">
      <c r="C34" s="107" t="s">
        <v>202</v>
      </c>
      <c r="D34" s="107" t="s">
        <v>203</v>
      </c>
      <c r="E34" s="140"/>
      <c r="F34" s="107" t="s">
        <v>204</v>
      </c>
      <c r="G34" s="355"/>
      <c r="H34" s="355"/>
      <c r="I34" s="355"/>
      <c r="J34" s="355"/>
      <c r="AE34" s="26"/>
      <c r="AF34" s="26"/>
      <c r="AG34" s="26"/>
      <c r="AI34" s="26" t="s">
        <v>205</v>
      </c>
      <c r="AJ34" s="26">
        <f t="shared" ref="AJ34:AJ43" ca="1" si="12">SUMIF($L$19:$M$24,AI34,$M$19:$M$24)</f>
        <v>0</v>
      </c>
      <c r="AK34" s="25" t="s">
        <v>206</v>
      </c>
    </row>
    <row r="35" spans="3:53">
      <c r="C35" s="107" t="s">
        <v>207</v>
      </c>
      <c r="D35" s="107" t="s">
        <v>208</v>
      </c>
      <c r="E35" s="140"/>
      <c r="F35" s="107" t="s">
        <v>204</v>
      </c>
      <c r="G35" s="355"/>
      <c r="H35" s="355"/>
      <c r="I35" s="355"/>
      <c r="J35" s="355"/>
      <c r="AE35" s="26" t="s">
        <v>185</v>
      </c>
      <c r="AF35" s="26">
        <f>'Generelt om prosjektet'!C24</f>
        <v>50</v>
      </c>
      <c r="AG35" s="26"/>
      <c r="AI35" s="26" t="s">
        <v>209</v>
      </c>
      <c r="AJ35" s="26">
        <f t="shared" ca="1" si="12"/>
        <v>0</v>
      </c>
      <c r="AM35" s="27" t="s">
        <v>210</v>
      </c>
      <c r="AN35" s="28"/>
      <c r="AO35" s="28"/>
      <c r="AP35" s="28"/>
      <c r="AQ35" s="28"/>
      <c r="AR35" s="28"/>
      <c r="AS35" s="28"/>
      <c r="AT35" s="29"/>
    </row>
    <row r="36" spans="3:53">
      <c r="C36" s="107" t="s">
        <v>211</v>
      </c>
      <c r="D36" s="170"/>
      <c r="E36" s="156"/>
      <c r="F36" s="107" t="s">
        <v>204</v>
      </c>
      <c r="G36" s="355"/>
      <c r="H36" s="355"/>
      <c r="I36" s="355"/>
      <c r="J36" s="355"/>
      <c r="AE36" s="26" t="str">
        <f>C34</f>
        <v>Beregnet levert strøm</v>
      </c>
      <c r="AF36" s="38">
        <f>E34*Utslippsdata!C76*$AF$35/1000</f>
        <v>0</v>
      </c>
      <c r="AG36" s="26" t="s">
        <v>212</v>
      </c>
      <c r="AI36" s="26" t="s">
        <v>213</v>
      </c>
      <c r="AJ36" s="26">
        <f t="shared" ca="1" si="12"/>
        <v>0</v>
      </c>
      <c r="AK36" s="25" t="s">
        <v>214</v>
      </c>
      <c r="AM36" s="25">
        <f>'Generelt om prosjektet'!C24</f>
        <v>50</v>
      </c>
      <c r="AN36" s="25" t="s">
        <v>196</v>
      </c>
      <c r="AO36" s="333" t="s">
        <v>215</v>
      </c>
      <c r="AP36" s="333"/>
      <c r="AQ36" s="333"/>
      <c r="AR36" s="333"/>
      <c r="AS36" s="333"/>
      <c r="AT36" s="333"/>
    </row>
    <row r="37" spans="3:53" ht="14.1">
      <c r="C37" s="107" t="s">
        <v>216</v>
      </c>
      <c r="D37" s="107" t="s">
        <v>217</v>
      </c>
      <c r="E37" s="171"/>
      <c r="F37" s="107" t="s">
        <v>218</v>
      </c>
      <c r="G37" s="355"/>
      <c r="H37" s="355"/>
      <c r="I37" s="355"/>
      <c r="J37" s="355"/>
      <c r="AE37" s="26" t="str">
        <f>C35</f>
        <v>Beregnet levert fjernvarme</v>
      </c>
      <c r="AF37" s="38">
        <f>E35*Utslippsdata!C81*$AF$35/1000</f>
        <v>0</v>
      </c>
      <c r="AG37" s="26" t="s">
        <v>212</v>
      </c>
      <c r="AI37" s="26" t="s">
        <v>219</v>
      </c>
      <c r="AJ37" s="26">
        <f t="shared" ca="1" si="12"/>
        <v>0</v>
      </c>
      <c r="AM37" s="65"/>
      <c r="AN37" s="65" t="s">
        <v>220</v>
      </c>
      <c r="AO37" s="66" t="s">
        <v>221</v>
      </c>
      <c r="AP37" s="66" t="s">
        <v>222</v>
      </c>
      <c r="AQ37" s="66" t="s">
        <v>223</v>
      </c>
      <c r="AR37" s="66" t="s">
        <v>224</v>
      </c>
      <c r="AS37" s="66" t="s">
        <v>225</v>
      </c>
      <c r="AT37" s="66" t="s">
        <v>226</v>
      </c>
      <c r="AW37" s="67"/>
    </row>
    <row r="38" spans="3:53" ht="14.1" thickBot="1">
      <c r="C38" s="107" t="s">
        <v>227</v>
      </c>
      <c r="D38" s="107" t="s">
        <v>227</v>
      </c>
      <c r="E38" s="140"/>
      <c r="F38" s="107" t="s">
        <v>228</v>
      </c>
      <c r="G38" s="355"/>
      <c r="H38" s="355"/>
      <c r="I38" s="355"/>
      <c r="J38" s="355"/>
      <c r="V38" s="27" t="s">
        <v>229</v>
      </c>
      <c r="W38" s="28"/>
      <c r="X38" s="28"/>
      <c r="Y38" s="29"/>
      <c r="AE38" s="26" t="str">
        <f>C36</f>
        <v>Annen kilde, spesifiser</v>
      </c>
      <c r="AF38" s="38">
        <f>E36*E37*$AF$35/1000</f>
        <v>0</v>
      </c>
      <c r="AG38" s="26" t="s">
        <v>212</v>
      </c>
      <c r="AI38" s="26" t="s">
        <v>230</v>
      </c>
      <c r="AJ38" s="26">
        <f t="shared" ca="1" si="12"/>
        <v>0</v>
      </c>
      <c r="AK38" s="25" t="s">
        <v>231</v>
      </c>
      <c r="AM38" s="9" t="s">
        <v>232</v>
      </c>
      <c r="AN38" s="9">
        <f t="shared" ref="AN38:AN48" si="13">SUMIF($D$19:$D$24,AM38,$E$19:$E$24)+SUMIF($D$19:$D$24,AM38,$G$19:$G$24)</f>
        <v>0</v>
      </c>
      <c r="AO38" s="14">
        <f>IFERROR(Utslippsdata!C114+800/AN38,0)*AN38</f>
        <v>0</v>
      </c>
      <c r="AP38" s="14">
        <f>IFERROR(120+1600/AN38,0)*AN38</f>
        <v>0</v>
      </c>
      <c r="AQ38" s="14">
        <f>IFERROR(145+2500/AN38,0)*AN38</f>
        <v>0</v>
      </c>
      <c r="AR38" s="14">
        <f>IFERROR(175+4100/AN38,0)*AN38</f>
        <v>0</v>
      </c>
      <c r="AS38" s="14">
        <f>IFERROR(205+5800/AN38,0)*AN38</f>
        <v>0</v>
      </c>
      <c r="AT38" s="14">
        <f>IFERROR(250+8000/AN38,0)*AN38</f>
        <v>0</v>
      </c>
    </row>
    <row r="39" spans="3:53">
      <c r="C39" s="107" t="s">
        <v>233</v>
      </c>
      <c r="D39" s="107" t="s">
        <v>234</v>
      </c>
      <c r="E39" s="140"/>
      <c r="F39" s="107" t="s">
        <v>204</v>
      </c>
      <c r="G39" s="355"/>
      <c r="H39" s="355"/>
      <c r="I39" s="355"/>
      <c r="J39" s="355"/>
      <c r="V39" s="26" t="s">
        <v>235</v>
      </c>
      <c r="W39" s="26"/>
      <c r="X39" s="26"/>
      <c r="Y39" s="26" t="s">
        <v>236</v>
      </c>
      <c r="Z39" s="68"/>
      <c r="AA39" s="69" t="s">
        <v>97</v>
      </c>
      <c r="AB39" s="48"/>
      <c r="AE39" s="26" t="str">
        <f>C39</f>
        <v>Levert strøm fra solceller</v>
      </c>
      <c r="AF39" s="38">
        <f>E39*Utslippsdata!C76*$AF$35/1000</f>
        <v>0</v>
      </c>
      <c r="AG39" s="26" t="s">
        <v>212</v>
      </c>
      <c r="AI39" s="26" t="s">
        <v>237</v>
      </c>
      <c r="AJ39" s="26">
        <f t="shared" ca="1" si="12"/>
        <v>0</v>
      </c>
      <c r="AK39" s="25" t="s">
        <v>238</v>
      </c>
      <c r="AM39" s="9" t="s">
        <v>239</v>
      </c>
      <c r="AN39" s="9">
        <f t="shared" si="13"/>
        <v>0</v>
      </c>
      <c r="AO39" s="14">
        <f>IFERROR(85+600/AN39,0)*AN39</f>
        <v>0</v>
      </c>
      <c r="AP39" s="14">
        <f>IFERROR(95+1000/AN39,0)*AN39</f>
        <v>0</v>
      </c>
      <c r="AQ39" s="14">
        <f>IFERROR(110+1500/AN39,0)*AN39</f>
        <v>0</v>
      </c>
      <c r="AR39" s="14">
        <f>IFERROR(135+2200/AN39,0)*AN39</f>
        <v>0</v>
      </c>
      <c r="AS39" s="14">
        <f>IFERROR(160+3000/AN39,0)*AN39</f>
        <v>0</v>
      </c>
      <c r="AT39" s="14">
        <f>IFERROR(200+4000/AN39,0)*AN39</f>
        <v>0</v>
      </c>
    </row>
    <row r="40" spans="3:53">
      <c r="C40" s="109"/>
      <c r="D40" s="109"/>
      <c r="E40" s="109"/>
      <c r="F40" s="109"/>
      <c r="G40" s="109"/>
      <c r="H40" s="109"/>
      <c r="I40" s="109"/>
      <c r="J40" s="109"/>
      <c r="V40" s="26">
        <f>IF(OR(D19=AK135,D20=AK135,D21=AK135,D22=AK135),1,0)</f>
        <v>0</v>
      </c>
      <c r="W40" s="26"/>
      <c r="X40" s="26">
        <v>1.95</v>
      </c>
      <c r="Y40" s="26">
        <f>IF(E30="",X40,E30)</f>
        <v>1.95</v>
      </c>
      <c r="AA40" s="45" t="s">
        <v>240</v>
      </c>
      <c r="AE40" s="26" t="s">
        <v>241</v>
      </c>
      <c r="AF40" s="38">
        <f>E38*(Utslippsdata!B107+Utslippsdata!C107+Utslippsdata!D107+Utslippsdata!E107+Utslippsdata!F107)/1000</f>
        <v>0</v>
      </c>
      <c r="AG40" s="26" t="s">
        <v>212</v>
      </c>
      <c r="AI40" s="26" t="s">
        <v>242</v>
      </c>
      <c r="AJ40" s="26">
        <f t="shared" ca="1" si="12"/>
        <v>0</v>
      </c>
      <c r="AK40" s="25" t="s">
        <v>243</v>
      </c>
      <c r="AM40" s="9" t="s">
        <v>244</v>
      </c>
      <c r="AN40" s="9">
        <f t="shared" si="13"/>
        <v>0</v>
      </c>
      <c r="AO40" s="70">
        <f>$AN40*Utslippsdata!C118</f>
        <v>0</v>
      </c>
      <c r="AP40" s="70">
        <f>$AN40*Utslippsdata!D118</f>
        <v>0</v>
      </c>
      <c r="AQ40" s="70">
        <f>$AN40*Utslippsdata!E118</f>
        <v>0</v>
      </c>
      <c r="AR40" s="70">
        <f>$AN40*Utslippsdata!F118</f>
        <v>0</v>
      </c>
      <c r="AS40" s="70">
        <f>$AN40*Utslippsdata!G118</f>
        <v>0</v>
      </c>
      <c r="AT40" s="70">
        <f>$AN40*Utslippsdata!H118</f>
        <v>0</v>
      </c>
    </row>
    <row r="41" spans="3:53">
      <c r="C41" s="107" t="s">
        <v>245</v>
      </c>
      <c r="D41" s="108" t="s">
        <v>240</v>
      </c>
      <c r="E41" s="109"/>
      <c r="F41" s="109"/>
      <c r="G41" s="109"/>
      <c r="H41" s="109"/>
      <c r="I41" s="109"/>
      <c r="J41" s="109"/>
      <c r="AA41" s="45" t="s">
        <v>246</v>
      </c>
      <c r="AI41" s="26" t="s">
        <v>247</v>
      </c>
      <c r="AJ41" s="26">
        <f t="shared" ca="1" si="12"/>
        <v>0</v>
      </c>
      <c r="AK41" s="25" t="s">
        <v>248</v>
      </c>
      <c r="AM41" s="9" t="s">
        <v>249</v>
      </c>
      <c r="AN41" s="9">
        <f t="shared" si="13"/>
        <v>0</v>
      </c>
      <c r="AO41" s="70">
        <f>$AN41*Utslippsdata!C119</f>
        <v>0</v>
      </c>
      <c r="AP41" s="70">
        <f>$AN41*Utslippsdata!D119</f>
        <v>0</v>
      </c>
      <c r="AQ41" s="70">
        <f>$AN41*Utslippsdata!E119</f>
        <v>0</v>
      </c>
      <c r="AR41" s="70">
        <f>$AN41*Utslippsdata!F119</f>
        <v>0</v>
      </c>
      <c r="AS41" s="70">
        <f>$AN41*Utslippsdata!G119</f>
        <v>0</v>
      </c>
      <c r="AT41" s="70">
        <f>$AN41*Utslippsdata!H119</f>
        <v>0</v>
      </c>
    </row>
    <row r="42" spans="3:53">
      <c r="C42" s="109"/>
      <c r="D42" s="109"/>
      <c r="E42" s="109"/>
      <c r="F42" s="109"/>
      <c r="G42" s="109"/>
      <c r="H42" s="109"/>
      <c r="I42" s="109"/>
      <c r="J42" s="109"/>
      <c r="AA42" s="45" t="s">
        <v>98</v>
      </c>
      <c r="AE42" s="71" t="s">
        <v>250</v>
      </c>
      <c r="AF42" s="71"/>
      <c r="AI42" s="26" t="s">
        <v>251</v>
      </c>
      <c r="AJ42" s="26">
        <f t="shared" ca="1" si="12"/>
        <v>0</v>
      </c>
      <c r="AK42" s="25" t="s">
        <v>252</v>
      </c>
      <c r="AM42" s="9" t="s">
        <v>253</v>
      </c>
      <c r="AN42" s="9">
        <f t="shared" si="13"/>
        <v>0</v>
      </c>
      <c r="AO42" s="70">
        <f>$AN42*Utslippsdata!C120</f>
        <v>0</v>
      </c>
      <c r="AP42" s="70">
        <f>$AN42*Utslippsdata!D120</f>
        <v>0</v>
      </c>
      <c r="AQ42" s="70">
        <f>$AN42*Utslippsdata!E120</f>
        <v>0</v>
      </c>
      <c r="AR42" s="70">
        <f>$AN42*Utslippsdata!F120</f>
        <v>0</v>
      </c>
      <c r="AS42" s="70">
        <f>$AN42*Utslippsdata!G120</f>
        <v>0</v>
      </c>
      <c r="AT42" s="70">
        <f>$AN42*Utslippsdata!H120</f>
        <v>0</v>
      </c>
    </row>
    <row r="43" spans="3:53">
      <c r="C43" s="118" t="s">
        <v>254</v>
      </c>
      <c r="D43" s="118"/>
      <c r="E43" s="118" t="s">
        <v>255</v>
      </c>
      <c r="F43" s="137" t="s">
        <v>90</v>
      </c>
      <c r="G43" s="138"/>
      <c r="H43" s="138"/>
      <c r="I43" s="138"/>
      <c r="J43" s="117"/>
      <c r="AA43" s="72"/>
      <c r="AE43" s="71" t="s">
        <v>256</v>
      </c>
      <c r="AF43" s="71"/>
      <c r="AI43" s="26" t="s">
        <v>257</v>
      </c>
      <c r="AJ43" s="26">
        <f t="shared" ca="1" si="12"/>
        <v>0</v>
      </c>
      <c r="AM43" s="9" t="s">
        <v>258</v>
      </c>
      <c r="AN43" s="9">
        <f t="shared" si="13"/>
        <v>0</v>
      </c>
      <c r="AO43" s="70">
        <f>$AN43*Utslippsdata!C121</f>
        <v>0</v>
      </c>
      <c r="AP43" s="70">
        <f>$AN43*Utslippsdata!D121</f>
        <v>0</v>
      </c>
      <c r="AQ43" s="70">
        <f>$AN43*Utslippsdata!E121</f>
        <v>0</v>
      </c>
      <c r="AR43" s="70">
        <f>$AN43*Utslippsdata!F121</f>
        <v>0</v>
      </c>
      <c r="AS43" s="70">
        <f>$AN43*Utslippsdata!G121</f>
        <v>0</v>
      </c>
      <c r="AT43" s="70">
        <f>$AN43*Utslippsdata!H121</f>
        <v>0</v>
      </c>
    </row>
    <row r="44" spans="3:53" ht="14.25" customHeight="1">
      <c r="C44" s="124" t="s">
        <v>259</v>
      </c>
      <c r="D44" s="133"/>
      <c r="E44" s="108" t="s">
        <v>260</v>
      </c>
      <c r="F44" s="355"/>
      <c r="G44" s="355"/>
      <c r="H44" s="355"/>
      <c r="I44" s="355"/>
      <c r="J44" s="355"/>
      <c r="V44" s="71" t="s">
        <v>261</v>
      </c>
      <c r="AA44" s="72"/>
      <c r="AE44" s="38">
        <f>D54*Utslippsdata!C146</f>
        <v>0</v>
      </c>
      <c r="AF44" s="26" t="s">
        <v>262</v>
      </c>
      <c r="AM44" s="9" t="s">
        <v>263</v>
      </c>
      <c r="AN44" s="9">
        <f t="shared" si="13"/>
        <v>0</v>
      </c>
      <c r="AO44" s="70">
        <f>$AN44*Utslippsdata!C122</f>
        <v>0</v>
      </c>
      <c r="AP44" s="70">
        <f>$AN44*Utslippsdata!D122</f>
        <v>0</v>
      </c>
      <c r="AQ44" s="70">
        <f>$AN44*Utslippsdata!E122</f>
        <v>0</v>
      </c>
      <c r="AR44" s="70">
        <f>$AN44*Utslippsdata!F122</f>
        <v>0</v>
      </c>
      <c r="AS44" s="70">
        <f>$AN44*Utslippsdata!G122</f>
        <v>0</v>
      </c>
      <c r="AT44" s="70">
        <f>$AN44*Utslippsdata!H122</f>
        <v>0</v>
      </c>
    </row>
    <row r="45" spans="3:53">
      <c r="C45" s="14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109"/>
      <c r="E45" s="109"/>
      <c r="F45" s="109"/>
      <c r="G45" s="109"/>
      <c r="H45" s="109"/>
      <c r="I45" s="109"/>
      <c r="J45" s="109"/>
      <c r="V45" s="26" t="s">
        <v>264</v>
      </c>
      <c r="AA45" s="45" t="s">
        <v>265</v>
      </c>
      <c r="AE45" s="38">
        <f>D55*Utslippsdata!C147</f>
        <v>0</v>
      </c>
      <c r="AF45" s="26" t="s">
        <v>262</v>
      </c>
      <c r="AI45" s="25" t="s">
        <v>266</v>
      </c>
      <c r="AJ45" s="25">
        <v>1.95</v>
      </c>
      <c r="AM45" s="9" t="s">
        <v>267</v>
      </c>
      <c r="AN45" s="9">
        <f t="shared" si="13"/>
        <v>0</v>
      </c>
      <c r="AO45" s="70">
        <f>$AN45*Utslippsdata!C123</f>
        <v>0</v>
      </c>
      <c r="AP45" s="70">
        <f>$AN45*Utslippsdata!D123</f>
        <v>0</v>
      </c>
      <c r="AQ45" s="70">
        <f>$AN45*Utslippsdata!E123</f>
        <v>0</v>
      </c>
      <c r="AR45" s="70">
        <f>$AN45*Utslippsdata!F123</f>
        <v>0</v>
      </c>
      <c r="AS45" s="70">
        <f>$AN45*Utslippsdata!G123</f>
        <v>0</v>
      </c>
      <c r="AT45" s="70">
        <f>$AN45*Utslippsdata!H123</f>
        <v>0</v>
      </c>
    </row>
    <row r="46" spans="3:53" ht="15" customHeight="1">
      <c r="C46" s="141" t="str">
        <f>IF(E44=Nei,"","*Hvis ja skal materialutslipp fra solceller, inverter, kabler, festesystem og ballast inkluderes i A1-A3, A4, A5, B1-B5 (antatt 30 år levetid) og C1-C4 inkluderes i resultattabell under")</f>
        <v/>
      </c>
      <c r="D46" s="109"/>
      <c r="E46" s="109"/>
      <c r="F46" s="109"/>
      <c r="G46" s="109"/>
      <c r="H46" s="109"/>
      <c r="I46" s="109"/>
      <c r="J46" s="109"/>
      <c r="V46" s="26">
        <f>IF(E38&gt;0,1,0)</f>
        <v>0</v>
      </c>
      <c r="AA46" s="45" t="s">
        <v>268</v>
      </c>
      <c r="AE46" s="38">
        <f>D56*Utslippsdata!C148</f>
        <v>0</v>
      </c>
      <c r="AF46" s="26" t="s">
        <v>262</v>
      </c>
      <c r="AI46" s="25" t="s">
        <v>269</v>
      </c>
      <c r="AJ46" s="25">
        <f>IF((OR(E30=0,E30="")),AJ45,E30)</f>
        <v>1.95</v>
      </c>
      <c r="AM46" s="9" t="s">
        <v>270</v>
      </c>
      <c r="AN46" s="9">
        <f t="shared" si="13"/>
        <v>0</v>
      </c>
      <c r="AO46" s="70">
        <f>$AN46*Utslippsdata!C124</f>
        <v>0</v>
      </c>
      <c r="AP46" s="70">
        <f>$AN46*Utslippsdata!D124</f>
        <v>0</v>
      </c>
      <c r="AQ46" s="70">
        <f>$AN46*Utslippsdata!E124</f>
        <v>0</v>
      </c>
      <c r="AR46" s="70">
        <f>$AN46*Utslippsdata!F124</f>
        <v>0</v>
      </c>
      <c r="AS46" s="70">
        <f>$AN46*Utslippsdata!G124</f>
        <v>0</v>
      </c>
      <c r="AT46" s="70">
        <f>$AN46*Utslippsdata!H124</f>
        <v>0</v>
      </c>
    </row>
    <row r="47" spans="3:53" ht="15" customHeight="1" thickBot="1">
      <c r="C47" s="109"/>
      <c r="D47" s="109"/>
      <c r="E47" s="109"/>
      <c r="F47" s="109"/>
      <c r="G47" s="109"/>
      <c r="H47" s="109"/>
      <c r="I47" s="109"/>
      <c r="J47" s="109"/>
      <c r="AA47" s="73" t="s">
        <v>260</v>
      </c>
      <c r="AE47" s="38">
        <f>D57*Utslippsdata!C149</f>
        <v>0</v>
      </c>
      <c r="AF47" s="26" t="s">
        <v>262</v>
      </c>
      <c r="AI47"/>
      <c r="AM47" s="9" t="s">
        <v>271</v>
      </c>
      <c r="AN47" s="9">
        <f t="shared" si="13"/>
        <v>0</v>
      </c>
      <c r="AO47" s="70">
        <f>$AN47*Utslippsdata!C125</f>
        <v>0</v>
      </c>
      <c r="AP47" s="70">
        <f>$AN47*Utslippsdata!D125</f>
        <v>0</v>
      </c>
      <c r="AQ47" s="70">
        <f>$AN47*Utslippsdata!E125</f>
        <v>0</v>
      </c>
      <c r="AR47" s="70">
        <f>$AN47*Utslippsdata!F125</f>
        <v>0</v>
      </c>
      <c r="AS47" s="70">
        <f>$AN47*Utslippsdata!G125</f>
        <v>0</v>
      </c>
      <c r="AT47" s="70">
        <f>$AN47*Utslippsdata!H125</f>
        <v>0</v>
      </c>
    </row>
    <row r="48" spans="3:53" ht="15" customHeight="1">
      <c r="C48" s="139" t="s">
        <v>272</v>
      </c>
      <c r="D48" s="389" t="s">
        <v>273</v>
      </c>
      <c r="E48" s="390" t="s">
        <v>274</v>
      </c>
      <c r="F48" s="390" t="s">
        <v>164</v>
      </c>
      <c r="G48" s="390" t="s">
        <v>275</v>
      </c>
      <c r="H48" s="390" t="s">
        <v>90</v>
      </c>
      <c r="I48" s="390"/>
      <c r="J48" s="390"/>
      <c r="AE48" s="194">
        <f>SUM(AE44:AE47)/1000</f>
        <v>0</v>
      </c>
      <c r="AF48" s="66" t="s">
        <v>212</v>
      </c>
      <c r="AI48" s="26" t="s">
        <v>276</v>
      </c>
      <c r="AJ48" s="26">
        <f ca="1">ROUND(AJ35*AJ46+AJ39,0)</f>
        <v>0</v>
      </c>
      <c r="AK48" s="25" t="s">
        <v>238</v>
      </c>
      <c r="AM48" s="9" t="s">
        <v>277</v>
      </c>
      <c r="AN48" s="9">
        <f t="shared" si="13"/>
        <v>0</v>
      </c>
      <c r="AO48" s="70">
        <f>$AN48*Utslippsdata!C126</f>
        <v>0</v>
      </c>
      <c r="AP48" s="70">
        <f>$AN48*Utslippsdata!D126</f>
        <v>0</v>
      </c>
      <c r="AQ48" s="70">
        <f>$AN48*Utslippsdata!E126</f>
        <v>0</v>
      </c>
      <c r="AR48" s="70">
        <f>$AN48*Utslippsdata!F126</f>
        <v>0</v>
      </c>
      <c r="AS48" s="70">
        <f>$AN48*Utslippsdata!G126</f>
        <v>0</v>
      </c>
      <c r="AT48" s="70">
        <f>$AN48*Utslippsdata!H126</f>
        <v>0</v>
      </c>
    </row>
    <row r="49" spans="3:46" ht="14.4">
      <c r="C49" s="118" t="s">
        <v>278</v>
      </c>
      <c r="D49" s="389"/>
      <c r="E49" s="390"/>
      <c r="F49" s="390"/>
      <c r="G49" s="390"/>
      <c r="H49" s="390"/>
      <c r="I49" s="390"/>
      <c r="J49" s="390"/>
      <c r="M49" s="48"/>
      <c r="N49" s="48"/>
      <c r="O49" s="48"/>
      <c r="P49" s="48"/>
      <c r="Q49" s="48"/>
      <c r="R49" s="48"/>
      <c r="S49" s="48"/>
      <c r="T49" s="48"/>
      <c r="U49" s="48"/>
      <c r="AI49"/>
      <c r="AM49" s="74" t="s">
        <v>183</v>
      </c>
      <c r="AN49" s="74"/>
      <c r="AO49" s="75">
        <f t="shared" ref="AO49:AT49" si="14">SUM(AO38:AO48)</f>
        <v>0</v>
      </c>
      <c r="AP49" s="75">
        <f t="shared" si="14"/>
        <v>0</v>
      </c>
      <c r="AQ49" s="75">
        <f t="shared" si="14"/>
        <v>0</v>
      </c>
      <c r="AR49" s="75">
        <f t="shared" si="14"/>
        <v>0</v>
      </c>
      <c r="AS49" s="75">
        <f t="shared" si="14"/>
        <v>0</v>
      </c>
      <c r="AT49" s="75">
        <f t="shared" si="14"/>
        <v>0</v>
      </c>
    </row>
    <row r="50" spans="3:46" ht="14.1">
      <c r="C50" s="107" t="s">
        <v>279</v>
      </c>
      <c r="D50" s="108">
        <v>50</v>
      </c>
      <c r="E50" s="140">
        <v>0</v>
      </c>
      <c r="F50" s="107" t="s">
        <v>280</v>
      </c>
      <c r="G50" s="108" t="s">
        <v>281</v>
      </c>
      <c r="H50" s="355"/>
      <c r="I50" s="355"/>
      <c r="J50" s="355"/>
      <c r="M50" s="48"/>
      <c r="N50" s="48"/>
      <c r="O50" s="48"/>
      <c r="P50" s="48"/>
      <c r="Q50" s="48"/>
      <c r="R50" s="48"/>
      <c r="S50" s="48"/>
      <c r="T50" s="48"/>
      <c r="U50" s="48"/>
      <c r="V50" s="27" t="s">
        <v>282</v>
      </c>
      <c r="W50" s="28"/>
      <c r="X50" s="28"/>
      <c r="Y50" s="28"/>
      <c r="Z50" s="28"/>
      <c r="AA50" s="29"/>
      <c r="AE50" s="71" t="s">
        <v>283</v>
      </c>
      <c r="AF50" s="71"/>
      <c r="AI50" s="26" t="str">
        <f ca="1">AJ34&amp;" "&amp;AK34</f>
        <v xml:space="preserve">0 arbeidsplasser, </v>
      </c>
      <c r="AJ50" s="25" t="str">
        <f ca="1">IF(AJ34=0,"",AI50)</f>
        <v/>
      </c>
      <c r="AM50" s="76" t="s">
        <v>284</v>
      </c>
      <c r="AN50" s="76"/>
      <c r="AO50" s="77">
        <f>AO49*$AM$36*Utslippsdata!$C$76/1000</f>
        <v>0</v>
      </c>
      <c r="AP50" s="77">
        <f>AP49*$AM$36*Utslippsdata!$C$76/1000</f>
        <v>0</v>
      </c>
      <c r="AQ50" s="77">
        <f>AQ49*$AM$36*Utslippsdata!$C$76/1000</f>
        <v>0</v>
      </c>
      <c r="AR50" s="77">
        <f>AR49*$AM$36*Utslippsdata!$C$76/1000</f>
        <v>0</v>
      </c>
      <c r="AS50" s="77">
        <f>AS49*$AM$36*Utslippsdata!$C$76/1000</f>
        <v>0</v>
      </c>
      <c r="AT50" s="77">
        <f>AT49*$AM$36*Utslippsdata!$C$76/1000</f>
        <v>0</v>
      </c>
    </row>
    <row r="51" spans="3:46">
      <c r="C51" s="107" t="s">
        <v>285</v>
      </c>
      <c r="D51" s="108">
        <v>50</v>
      </c>
      <c r="E51" s="140">
        <v>0</v>
      </c>
      <c r="F51" s="107" t="s">
        <v>280</v>
      </c>
      <c r="G51" s="108" t="s">
        <v>281</v>
      </c>
      <c r="H51" s="356"/>
      <c r="I51" s="357"/>
      <c r="J51" s="358"/>
      <c r="N51" s="48"/>
      <c r="V51" s="78">
        <v>1</v>
      </c>
      <c r="W51" s="78">
        <v>2</v>
      </c>
      <c r="X51" s="78">
        <v>3</v>
      </c>
      <c r="Y51" s="78">
        <v>4</v>
      </c>
      <c r="Z51" s="78">
        <v>5</v>
      </c>
      <c r="AE51" s="26">
        <f>D60*(Utslippsdata!C133+Utslippsdata!$C$136)</f>
        <v>0</v>
      </c>
      <c r="AF51" s="26" t="s">
        <v>262</v>
      </c>
      <c r="AI51" s="26" t="str">
        <f ca="1">AJ36&amp;" "&amp;AK36</f>
        <v xml:space="preserve">0 elevplasser, </v>
      </c>
      <c r="AJ51" s="25" t="str">
        <f ca="1">IF(AJ36=0,"",AI51)</f>
        <v/>
      </c>
    </row>
    <row r="52" spans="3:46">
      <c r="C52" s="109"/>
      <c r="D52" s="109"/>
      <c r="E52" s="109"/>
      <c r="F52" s="109"/>
      <c r="G52" s="109"/>
      <c r="H52" s="109"/>
      <c r="I52" s="109"/>
      <c r="J52" s="109"/>
      <c r="N52" s="48"/>
      <c r="V52" s="36" t="s">
        <v>275</v>
      </c>
      <c r="W52" s="36"/>
      <c r="AE52" s="26">
        <f>D61*(Utslippsdata!C134+Utslippsdata!$C$136)</f>
        <v>0</v>
      </c>
      <c r="AF52" s="26" t="s">
        <v>262</v>
      </c>
      <c r="AI52" s="26" t="str">
        <f ca="1">AJ38&amp;" "&amp;AK38</f>
        <v xml:space="preserve">0 beboere på sykehjem, </v>
      </c>
      <c r="AJ52" s="25" t="str">
        <f ca="1">IF(AJ38=0,"",AI52)</f>
        <v/>
      </c>
    </row>
    <row r="53" spans="3:46">
      <c r="C53" s="118" t="s">
        <v>286</v>
      </c>
      <c r="D53" s="118" t="s">
        <v>287</v>
      </c>
      <c r="E53" s="118" t="s">
        <v>164</v>
      </c>
      <c r="F53" s="137" t="s">
        <v>90</v>
      </c>
      <c r="G53" s="138"/>
      <c r="H53" s="138"/>
      <c r="I53" s="138"/>
      <c r="J53" s="117"/>
      <c r="N53" s="48"/>
      <c r="V53" s="26" t="s">
        <v>281</v>
      </c>
      <c r="W53" s="26"/>
      <c r="Z53" s="79">
        <f>Z54</f>
        <v>0.13887096774193547</v>
      </c>
      <c r="AA53" s="26" t="s">
        <v>288</v>
      </c>
      <c r="AE53" s="26">
        <f>D62*(Utslippsdata!C135+Utslippsdata!$C$136)</f>
        <v>0</v>
      </c>
      <c r="AF53" s="26" t="s">
        <v>262</v>
      </c>
      <c r="AI53" s="26" t="str">
        <f ca="1">AJ40&amp;" "&amp;AK40</f>
        <v xml:space="preserve">0 plasser for barn, </v>
      </c>
      <c r="AJ53" s="25" t="str">
        <f ca="1">IF(AJ40=0,"",AI53)</f>
        <v/>
      </c>
    </row>
    <row r="54" spans="3:46">
      <c r="C54" s="107" t="s">
        <v>289</v>
      </c>
      <c r="D54" s="108"/>
      <c r="E54" s="108" t="s">
        <v>228</v>
      </c>
      <c r="F54" s="356"/>
      <c r="G54" s="357"/>
      <c r="H54" s="357"/>
      <c r="I54" s="357"/>
      <c r="J54" s="358"/>
      <c r="N54" s="48"/>
      <c r="V54" s="26" t="s">
        <v>290</v>
      </c>
      <c r="W54" s="26">
        <v>2.87</v>
      </c>
      <c r="X54" s="25" t="s">
        <v>291</v>
      </c>
      <c r="Z54" s="80">
        <f>W59*W54/W58</f>
        <v>0.13887096774193547</v>
      </c>
      <c r="AA54" s="26" t="s">
        <v>288</v>
      </c>
      <c r="AE54" s="26">
        <f>D63*Utslippsdata!C136</f>
        <v>0</v>
      </c>
      <c r="AF54" s="26" t="s">
        <v>262</v>
      </c>
      <c r="AI54" s="26" t="str">
        <f ca="1">AJ41&amp;" "&amp;AK41</f>
        <v xml:space="preserve">0 besøkende pr år, </v>
      </c>
      <c r="AJ54" s="25" t="str">
        <f ca="1">IF(AJ41=0,"",AI54)</f>
        <v/>
      </c>
    </row>
    <row r="55" spans="3:46">
      <c r="C55" s="107" t="s">
        <v>292</v>
      </c>
      <c r="D55" s="108"/>
      <c r="E55" s="108" t="s">
        <v>228</v>
      </c>
      <c r="F55" s="356"/>
      <c r="G55" s="357"/>
      <c r="H55" s="357"/>
      <c r="I55" s="357"/>
      <c r="J55" s="358"/>
      <c r="N55" s="48"/>
      <c r="V55" s="26" t="s">
        <v>293</v>
      </c>
      <c r="W55" s="26"/>
      <c r="Z55" s="80">
        <f>W59*W60*Utslippsdata!C78/W58</f>
        <v>5.0112597937020005E-3</v>
      </c>
      <c r="AA55" s="26" t="s">
        <v>288</v>
      </c>
      <c r="AE55" s="26">
        <f>D64*Utslippsdata!C140</f>
        <v>0</v>
      </c>
      <c r="AF55" s="26" t="s">
        <v>262</v>
      </c>
      <c r="AI55" s="26" t="str">
        <f ca="1">AJ42&amp;" "&amp;AK42</f>
        <v xml:space="preserve">0 hotellsenger, </v>
      </c>
      <c r="AJ55" s="25" t="str">
        <f ca="1">IF(AJ42=0,"",AI55)</f>
        <v/>
      </c>
    </row>
    <row r="56" spans="3:46">
      <c r="C56" s="107" t="s">
        <v>294</v>
      </c>
      <c r="D56" s="108"/>
      <c r="E56" s="108" t="s">
        <v>228</v>
      </c>
      <c r="F56" s="356"/>
      <c r="G56" s="357"/>
      <c r="H56" s="357"/>
      <c r="I56" s="357"/>
      <c r="J56" s="358"/>
      <c r="N56" s="48"/>
      <c r="V56" s="26" t="s">
        <v>295</v>
      </c>
      <c r="W56" s="26">
        <v>1.462518</v>
      </c>
      <c r="X56" s="25" t="s">
        <v>296</v>
      </c>
      <c r="Z56" s="80">
        <f>W61*W63*W56/W58</f>
        <v>7.2654119999999989E-2</v>
      </c>
      <c r="AA56" s="26" t="s">
        <v>288</v>
      </c>
      <c r="AE56" s="26">
        <f>D65*Utslippsdata!C141</f>
        <v>0</v>
      </c>
      <c r="AF56" s="26" t="s">
        <v>262</v>
      </c>
      <c r="AI56" s="200" t="str">
        <f ca="1">AJ48&amp;" "&amp;AK48</f>
        <v xml:space="preserve">0 bosatte, </v>
      </c>
      <c r="AJ56" s="25" t="str">
        <f ca="1">IF(AJ48=0,"",AI56)</f>
        <v/>
      </c>
      <c r="AN56" s="27" t="s">
        <v>297</v>
      </c>
      <c r="AO56" s="28"/>
      <c r="AP56" s="28"/>
      <c r="AQ56" s="28"/>
      <c r="AR56" s="29"/>
    </row>
    <row r="57" spans="3:46">
      <c r="C57" s="107" t="s">
        <v>298</v>
      </c>
      <c r="D57" s="108"/>
      <c r="E57" s="108" t="s">
        <v>228</v>
      </c>
      <c r="F57" s="356"/>
      <c r="G57" s="357"/>
      <c r="H57" s="357"/>
      <c r="I57" s="357"/>
      <c r="J57" s="358"/>
      <c r="N57" s="48"/>
      <c r="AE57" s="26">
        <f>D66*Utslippsdata!C142</f>
        <v>0</v>
      </c>
      <c r="AF57" s="26" t="s">
        <v>262</v>
      </c>
      <c r="AI57" s="74" t="str">
        <f ca="1">AJ50&amp;AJ51&amp;AJ52&amp;AJ53&amp;AJ54&amp;AJ55&amp;AJ56</f>
        <v/>
      </c>
      <c r="AJ57" s="74"/>
    </row>
    <row r="58" spans="3:46" ht="14.1">
      <c r="C58" s="109"/>
      <c r="D58" s="109"/>
      <c r="E58" s="109"/>
      <c r="F58" s="109"/>
      <c r="G58" s="109"/>
      <c r="H58" s="109"/>
      <c r="I58" s="109"/>
      <c r="J58" s="109"/>
      <c r="N58" s="48"/>
      <c r="V58" s="26" t="s">
        <v>299</v>
      </c>
      <c r="W58" s="26">
        <v>9.3000000000000007</v>
      </c>
      <c r="X58" s="26" t="s">
        <v>300</v>
      </c>
      <c r="AE58" s="66">
        <f>SUM(AE51:AE57)/1000</f>
        <v>0</v>
      </c>
      <c r="AF58" s="66" t="s">
        <v>212</v>
      </c>
      <c r="AI58" s="74">
        <f ca="1">AJ34+AJ36+AJ38+AJ40+AJ41+AJ42+AJ48</f>
        <v>0</v>
      </c>
      <c r="AJ58" s="74" t="s">
        <v>301</v>
      </c>
    </row>
    <row r="59" spans="3:46">
      <c r="C59" s="118" t="s">
        <v>302</v>
      </c>
      <c r="D59" s="118" t="s">
        <v>303</v>
      </c>
      <c r="E59" s="118" t="s">
        <v>164</v>
      </c>
      <c r="F59" s="137" t="s">
        <v>90</v>
      </c>
      <c r="G59" s="138"/>
      <c r="H59" s="138"/>
      <c r="I59" s="138"/>
      <c r="J59" s="117"/>
      <c r="N59" s="48"/>
      <c r="V59" s="26" t="s">
        <v>304</v>
      </c>
      <c r="W59" s="26">
        <f>0.45</f>
        <v>0.45</v>
      </c>
      <c r="X59" s="26" t="s">
        <v>305</v>
      </c>
      <c r="Y59" s="26" t="s">
        <v>306</v>
      </c>
      <c r="Z59" s="26" t="s">
        <v>307</v>
      </c>
    </row>
    <row r="60" spans="3:46">
      <c r="C60" s="107" t="s">
        <v>308</v>
      </c>
      <c r="D60" s="108"/>
      <c r="E60" s="108" t="s">
        <v>228</v>
      </c>
      <c r="F60" s="356"/>
      <c r="G60" s="357"/>
      <c r="H60" s="357"/>
      <c r="I60" s="357"/>
      <c r="J60" s="358"/>
      <c r="N60" s="48"/>
      <c r="V60" s="26" t="s">
        <v>309</v>
      </c>
      <c r="W60" s="26">
        <v>4.2888888888888896</v>
      </c>
      <c r="X60" s="26" t="s">
        <v>310</v>
      </c>
      <c r="Y60" s="26"/>
      <c r="Z60" s="26"/>
    </row>
    <row r="61" spans="3:46">
      <c r="C61" s="107" t="s">
        <v>311</v>
      </c>
      <c r="D61" s="108"/>
      <c r="E61" s="108" t="s">
        <v>228</v>
      </c>
      <c r="F61" s="356"/>
      <c r="G61" s="357"/>
      <c r="H61" s="357"/>
      <c r="I61" s="357"/>
      <c r="J61" s="358"/>
      <c r="N61" s="48"/>
      <c r="V61" s="26" t="s">
        <v>312</v>
      </c>
      <c r="W61" s="26">
        <v>0.7</v>
      </c>
      <c r="X61" s="26" t="s">
        <v>313</v>
      </c>
      <c r="Y61" s="26" t="s">
        <v>314</v>
      </c>
      <c r="Z61" s="26" t="s">
        <v>315</v>
      </c>
    </row>
    <row r="62" spans="3:46">
      <c r="C62" s="107" t="s">
        <v>316</v>
      </c>
      <c r="D62" s="108"/>
      <c r="E62" s="108" t="s">
        <v>228</v>
      </c>
      <c r="F62" s="356"/>
      <c r="G62" s="357"/>
      <c r="H62" s="357"/>
      <c r="I62" s="357"/>
      <c r="J62" s="358"/>
      <c r="N62" s="48"/>
      <c r="V62" s="26" t="s">
        <v>312</v>
      </c>
      <c r="W62" s="26">
        <f>623251/1080000</f>
        <v>0.57708425925925921</v>
      </c>
      <c r="X62" s="26" t="s">
        <v>313</v>
      </c>
      <c r="Y62" s="26" t="s">
        <v>317</v>
      </c>
      <c r="Z62" s="26"/>
    </row>
    <row r="63" spans="3:46">
      <c r="C63" s="107" t="s">
        <v>318</v>
      </c>
      <c r="D63" s="108"/>
      <c r="E63" s="108" t="s">
        <v>228</v>
      </c>
      <c r="F63" s="356"/>
      <c r="G63" s="357"/>
      <c r="H63" s="357"/>
      <c r="I63" s="357"/>
      <c r="J63" s="358"/>
      <c r="N63" s="48"/>
      <c r="V63" s="26" t="s">
        <v>295</v>
      </c>
      <c r="W63" s="26">
        <v>0.66</v>
      </c>
      <c r="X63" s="26" t="s">
        <v>319</v>
      </c>
      <c r="Y63" s="26" t="s">
        <v>317</v>
      </c>
      <c r="Z63" s="26"/>
      <c r="AI63" s="25" t="str">
        <f>AJ47&amp;" "&amp;AK47</f>
        <v xml:space="preserve"> </v>
      </c>
    </row>
    <row r="64" spans="3:46">
      <c r="C64" s="107" t="s">
        <v>320</v>
      </c>
      <c r="D64" s="108"/>
      <c r="E64" s="108" t="s">
        <v>301</v>
      </c>
      <c r="F64" s="356"/>
      <c r="G64" s="357"/>
      <c r="H64" s="357"/>
      <c r="I64" s="357"/>
      <c r="J64" s="358"/>
      <c r="N64" s="48"/>
    </row>
    <row r="65" spans="3:38">
      <c r="C65" s="107" t="s">
        <v>321</v>
      </c>
      <c r="D65" s="108"/>
      <c r="E65" s="108" t="s">
        <v>301</v>
      </c>
      <c r="F65" s="356"/>
      <c r="G65" s="357"/>
      <c r="H65" s="357"/>
      <c r="I65" s="357"/>
      <c r="J65" s="358"/>
      <c r="N65" s="48"/>
      <c r="V65" s="334" t="s">
        <v>322</v>
      </c>
      <c r="W65" s="334"/>
      <c r="X65" s="334"/>
      <c r="Y65" s="334"/>
      <c r="Z65" s="334"/>
    </row>
    <row r="66" spans="3:38">
      <c r="C66" s="107" t="s">
        <v>323</v>
      </c>
      <c r="D66" s="108"/>
      <c r="E66" s="108" t="s">
        <v>301</v>
      </c>
      <c r="F66" s="356"/>
      <c r="G66" s="357"/>
      <c r="H66" s="357"/>
      <c r="I66" s="357"/>
      <c r="J66" s="358"/>
      <c r="N66" s="48"/>
      <c r="V66" s="26" t="s">
        <v>324</v>
      </c>
      <c r="W66" s="26" t="s">
        <v>325</v>
      </c>
      <c r="X66" s="26" t="s">
        <v>31</v>
      </c>
      <c r="Y66" s="26" t="s">
        <v>326</v>
      </c>
      <c r="Z66" s="26"/>
    </row>
    <row r="67" spans="3:38">
      <c r="G67" s="294"/>
      <c r="H67" s="294"/>
      <c r="I67" s="294"/>
      <c r="J67" s="294"/>
      <c r="N67" s="48"/>
      <c r="V67" s="26">
        <v>50</v>
      </c>
      <c r="W67" s="26">
        <v>2</v>
      </c>
      <c r="X67" s="70">
        <f>E50*V67*W67*Z54/1000</f>
        <v>0</v>
      </c>
      <c r="Y67" s="70">
        <f>E50*V67*W67*VLOOKUP(G50,$V$53:$Z$56,$Z$51,FALSE)/1000</f>
        <v>0</v>
      </c>
      <c r="Z67" s="26" t="s">
        <v>327</v>
      </c>
    </row>
    <row r="68" spans="3:38">
      <c r="G68" s="294"/>
      <c r="H68" s="294"/>
      <c r="I68" s="294"/>
      <c r="J68" s="294"/>
      <c r="V68" s="26">
        <v>50</v>
      </c>
      <c r="W68" s="26">
        <v>2</v>
      </c>
      <c r="X68" s="70">
        <f>E51*V68*W68*Z54/1000</f>
        <v>0</v>
      </c>
      <c r="Y68" s="70">
        <f>E51*V68*W68*VLOOKUP(G51,$V$53:$Z$56,$Z$51,FALSE)/1000</f>
        <v>0</v>
      </c>
      <c r="Z68" s="26" t="s">
        <v>327</v>
      </c>
    </row>
    <row r="69" spans="3:38" hidden="1">
      <c r="C69" s="2"/>
      <c r="D69" s="2"/>
      <c r="E69" s="2"/>
      <c r="F69" s="2"/>
      <c r="G69" s="362"/>
      <c r="H69" s="362"/>
      <c r="I69" s="362"/>
      <c r="J69" s="362"/>
      <c r="X69" s="81">
        <f>X67+X68</f>
        <v>0</v>
      </c>
      <c r="Y69" s="81">
        <f>Y67+Y68</f>
        <v>0</v>
      </c>
      <c r="Z69" s="26" t="s">
        <v>327</v>
      </c>
    </row>
    <row r="70" spans="3:38" hidden="1"/>
    <row r="71" spans="3:38" hidden="1"/>
    <row r="72" spans="3:38" hidden="1"/>
    <row r="73" spans="3:38" hidden="1"/>
    <row r="74" spans="3:38" hidden="1"/>
    <row r="76" spans="3:38" ht="24.9">
      <c r="C76" s="23" t="s">
        <v>424</v>
      </c>
    </row>
    <row r="77" spans="3:38">
      <c r="X77" s="2"/>
      <c r="Y77" s="2"/>
      <c r="Z77" s="2"/>
      <c r="AA77" s="2"/>
      <c r="AB77" s="2"/>
      <c r="AC77" s="2"/>
      <c r="AD77" s="2"/>
      <c r="AE77" s="2"/>
    </row>
    <row r="78" spans="3:38" ht="15" customHeight="1">
      <c r="C78" s="374" t="s">
        <v>329</v>
      </c>
      <c r="D78" s="363" t="str">
        <f>"Tonn CO2 ekv, "&amp;VLOOKUP('Generelt om prosjektet'!C25,'Generelt om prosjektet'!W25:X28,2,FALSE)&amp;". Klimagassutslippene er oppgit uten hensyn til binding av biogent karbon."</f>
        <v>Tonn CO2 ekv, GWP. Klimagassutslippene er oppgit uten hensyn til binding av biogent karbon.</v>
      </c>
      <c r="E78" s="364"/>
      <c r="F78" s="364"/>
      <c r="G78" s="364"/>
      <c r="H78" s="376" t="s">
        <v>330</v>
      </c>
      <c r="I78" s="142" t="s">
        <v>90</v>
      </c>
      <c r="J78" s="143"/>
      <c r="K78" s="143"/>
      <c r="L78" s="144"/>
      <c r="V78" s="48" t="s">
        <v>331</v>
      </c>
      <c r="AB78" s="2"/>
      <c r="AC78" s="2"/>
      <c r="AD78" s="2"/>
      <c r="AE78" s="2"/>
    </row>
    <row r="79" spans="3:38" ht="45" customHeight="1">
      <c r="C79" s="375"/>
      <c r="D79" s="145" t="s">
        <v>332</v>
      </c>
      <c r="E79" s="146" t="s">
        <v>333</v>
      </c>
      <c r="F79" s="146" t="s">
        <v>334</v>
      </c>
      <c r="G79" s="147" t="s">
        <v>183</v>
      </c>
      <c r="H79" s="377"/>
      <c r="I79" s="148"/>
      <c r="J79" s="149"/>
      <c r="K79" s="149"/>
      <c r="L79" s="150"/>
      <c r="V79" s="84" t="s">
        <v>31</v>
      </c>
      <c r="W79" s="84" t="s">
        <v>335</v>
      </c>
      <c r="X79" s="84" t="s">
        <v>336</v>
      </c>
      <c r="Y79" s="84" t="s">
        <v>337</v>
      </c>
      <c r="Z79" s="84" t="s">
        <v>338</v>
      </c>
      <c r="AB79" s="2"/>
      <c r="AC79" s="2"/>
      <c r="AD79" s="2"/>
      <c r="AE79" s="2"/>
    </row>
    <row r="80" spans="3:38" ht="30" customHeight="1">
      <c r="C80" s="110" t="s">
        <v>339</v>
      </c>
      <c r="D80" s="151"/>
      <c r="E80" s="140"/>
      <c r="F80" s="152"/>
      <c r="G80" s="153">
        <f>E80</f>
        <v>0</v>
      </c>
      <c r="H80" s="195">
        <f>IF(G93=0,0,IF(G80=0,0.1,G80))</f>
        <v>0</v>
      </c>
      <c r="I80" s="365"/>
      <c r="J80" s="366"/>
      <c r="K80" s="366"/>
      <c r="L80" s="367"/>
      <c r="U80" s="196">
        <f>G80</f>
        <v>0</v>
      </c>
      <c r="V80" s="85">
        <f>SUM(BB19:BB24)/1000</f>
        <v>0</v>
      </c>
      <c r="W80" s="86" t="s">
        <v>340</v>
      </c>
      <c r="X80" s="26" t="s">
        <v>341</v>
      </c>
      <c r="Y80" s="86" t="s">
        <v>342</v>
      </c>
      <c r="Z80" s="26" t="s">
        <v>341</v>
      </c>
      <c r="AH80" s="15" t="s">
        <v>30</v>
      </c>
      <c r="AI80" s="70">
        <f>G80</f>
        <v>0</v>
      </c>
      <c r="AJ80" s="87">
        <f>V80</f>
        <v>0</v>
      </c>
      <c r="AK80" s="88">
        <f>IFERROR(AI80/AJ80,0)</f>
        <v>0</v>
      </c>
      <c r="AL80" s="26"/>
    </row>
    <row r="81" spans="3:38" ht="15" customHeight="1">
      <c r="C81" s="154" t="s">
        <v>343</v>
      </c>
      <c r="D81" s="140"/>
      <c r="E81" s="140"/>
      <c r="F81" s="151"/>
      <c r="G81" s="153">
        <f>D81+E81</f>
        <v>0</v>
      </c>
      <c r="H81" s="22">
        <f>IFERROR(G81/V81,1)</f>
        <v>1</v>
      </c>
      <c r="I81" s="359"/>
      <c r="J81" s="360"/>
      <c r="K81" s="360"/>
      <c r="L81" s="361"/>
      <c r="U81" s="196">
        <f>G81</f>
        <v>0</v>
      </c>
      <c r="V81" s="89">
        <f>(AN25+AS25+AO25+AT25)/1000</f>
        <v>0</v>
      </c>
      <c r="W81" s="90">
        <v>1.1000000000000001</v>
      </c>
      <c r="X81" s="90">
        <v>0.9</v>
      </c>
      <c r="Y81" s="90">
        <v>0.1</v>
      </c>
      <c r="Z81" s="91">
        <v>0</v>
      </c>
      <c r="AH81" s="15" t="s">
        <v>32</v>
      </c>
      <c r="AI81" s="70">
        <f>G81</f>
        <v>0</v>
      </c>
      <c r="AJ81" s="70">
        <f>V81</f>
        <v>0</v>
      </c>
      <c r="AK81" s="88">
        <f>IFERROR(AI81/AJ81,0)</f>
        <v>0</v>
      </c>
      <c r="AL81" s="26"/>
    </row>
    <row r="82" spans="3:38">
      <c r="C82" s="107" t="s">
        <v>344</v>
      </c>
      <c r="D82" s="140"/>
      <c r="E82" s="140"/>
      <c r="F82" s="140"/>
      <c r="G82" s="153">
        <f>D82+E82+F82</f>
        <v>0</v>
      </c>
      <c r="H82" s="22">
        <f>IFERROR(G82/V82,1)</f>
        <v>1</v>
      </c>
      <c r="I82" s="368"/>
      <c r="J82" s="369"/>
      <c r="K82" s="369"/>
      <c r="L82" s="370"/>
      <c r="U82" s="196">
        <f>G82</f>
        <v>0</v>
      </c>
      <c r="V82" s="89">
        <f>(SUM(AN19:AN24)+SUM(AS19:AS24))/1000</f>
        <v>0</v>
      </c>
      <c r="W82" s="90">
        <v>1.1000000000000001</v>
      </c>
      <c r="X82" s="90">
        <v>0.9</v>
      </c>
      <c r="Y82" s="90">
        <v>0.1</v>
      </c>
      <c r="Z82" s="91">
        <v>0</v>
      </c>
      <c r="AH82" s="9" t="s">
        <v>35</v>
      </c>
      <c r="AI82" s="70">
        <f>G82+G83+G89+G92</f>
        <v>0</v>
      </c>
      <c r="AJ82" s="70">
        <f>V82+V83+V89</f>
        <v>0</v>
      </c>
      <c r="AK82" s="88">
        <f>IFERROR(AI82/AJ82,0)</f>
        <v>0</v>
      </c>
      <c r="AL82" s="26"/>
    </row>
    <row r="83" spans="3:38">
      <c r="C83" s="107" t="s">
        <v>345</v>
      </c>
      <c r="D83" s="140"/>
      <c r="E83" s="140"/>
      <c r="F83" s="140"/>
      <c r="G83" s="153">
        <f>D83+E83+F83</f>
        <v>0</v>
      </c>
      <c r="H83" s="22">
        <f>IFERROR(G83/V83,1)</f>
        <v>1</v>
      </c>
      <c r="I83" s="359"/>
      <c r="J83" s="360"/>
      <c r="K83" s="360"/>
      <c r="L83" s="361"/>
      <c r="U83" s="196">
        <f>G83</f>
        <v>0</v>
      </c>
      <c r="V83" s="89">
        <f>(SUM(AO19:AO24)+SUM(AT19:AT24))/1000</f>
        <v>0</v>
      </c>
      <c r="W83" s="90">
        <v>1.1000000000000001</v>
      </c>
      <c r="X83" s="90">
        <v>0.9</v>
      </c>
      <c r="Y83" s="90">
        <v>0.1</v>
      </c>
      <c r="Z83" s="91">
        <v>0</v>
      </c>
      <c r="AH83" s="9" t="s">
        <v>37</v>
      </c>
      <c r="AI83" s="70">
        <f>G84+G85+G86</f>
        <v>0</v>
      </c>
      <c r="AJ83" s="70">
        <f>V84+V85+V86</f>
        <v>0</v>
      </c>
      <c r="AK83" s="88">
        <f>IFERROR((AI83-G85)/AJ83,0)</f>
        <v>0</v>
      </c>
      <c r="AL83" s="26"/>
    </row>
    <row r="84" spans="3:38">
      <c r="C84" s="154" t="s">
        <v>346</v>
      </c>
      <c r="D84" s="140"/>
      <c r="E84" s="140"/>
      <c r="F84" s="140"/>
      <c r="G84" s="153">
        <f>D84+E84+F84</f>
        <v>0</v>
      </c>
      <c r="H84" s="22">
        <f>IFERROR(G84/V84,1)</f>
        <v>1</v>
      </c>
      <c r="I84" s="359"/>
      <c r="J84" s="360"/>
      <c r="K84" s="360"/>
      <c r="L84" s="361"/>
      <c r="U84" s="196">
        <f>G84</f>
        <v>0</v>
      </c>
      <c r="V84" s="89">
        <f>(SUM(AP19:AP25)+SUM(AU19:AU25))/1000</f>
        <v>0</v>
      </c>
      <c r="W84" s="90">
        <v>1.1000000000000001</v>
      </c>
      <c r="X84" s="90">
        <v>0.9</v>
      </c>
      <c r="Y84" s="90">
        <v>0.1</v>
      </c>
      <c r="Z84" s="91">
        <v>0</v>
      </c>
      <c r="AH84" s="9" t="s">
        <v>39</v>
      </c>
      <c r="AI84" s="70">
        <f>G90</f>
        <v>0</v>
      </c>
      <c r="AJ84" s="70">
        <f>V90</f>
        <v>0</v>
      </c>
      <c r="AK84" s="88">
        <f>IFERROR(AI84/AJ84,0)</f>
        <v>0</v>
      </c>
      <c r="AL84" s="26"/>
    </row>
    <row r="85" spans="3:38">
      <c r="C85" s="154" t="s">
        <v>347</v>
      </c>
      <c r="D85" s="371"/>
      <c r="E85" s="372"/>
      <c r="F85" s="373"/>
      <c r="G85" s="153">
        <f>D85</f>
        <v>0</v>
      </c>
      <c r="H85" s="155" t="s">
        <v>341</v>
      </c>
      <c r="I85" s="359"/>
      <c r="J85" s="360"/>
      <c r="K85" s="360"/>
      <c r="L85" s="361"/>
      <c r="U85" s="196"/>
      <c r="V85" s="92"/>
      <c r="AH85" s="9" t="s">
        <v>41</v>
      </c>
      <c r="AI85" s="70">
        <f>G87+G88</f>
        <v>0</v>
      </c>
      <c r="AJ85" s="70">
        <f>V87+V88</f>
        <v>0</v>
      </c>
      <c r="AK85" s="88">
        <f>IFERROR(AI85/AJ85,0)</f>
        <v>0</v>
      </c>
      <c r="AL85" s="26"/>
    </row>
    <row r="86" spans="3:38">
      <c r="C86" s="154" t="s">
        <v>348</v>
      </c>
      <c r="D86" s="316">
        <f>Y69</f>
        <v>0</v>
      </c>
      <c r="E86" s="317"/>
      <c r="F86" s="318"/>
      <c r="G86" s="153">
        <f>D86</f>
        <v>0</v>
      </c>
      <c r="H86" s="22">
        <f>IFERROR(G86/V86,1)</f>
        <v>1</v>
      </c>
      <c r="I86" s="368"/>
      <c r="J86" s="369"/>
      <c r="K86" s="369"/>
      <c r="L86" s="370"/>
      <c r="U86" s="196">
        <f>G86</f>
        <v>0</v>
      </c>
      <c r="V86" s="89">
        <f>X69</f>
        <v>0</v>
      </c>
      <c r="W86" s="90">
        <v>1.1000000000000001</v>
      </c>
      <c r="X86" s="90">
        <v>0.9</v>
      </c>
      <c r="Y86" s="90">
        <v>0</v>
      </c>
      <c r="Z86" s="86" t="s">
        <v>341</v>
      </c>
      <c r="AH86" s="9" t="s">
        <v>43</v>
      </c>
      <c r="AI86" s="70">
        <f>G91</f>
        <v>0</v>
      </c>
      <c r="AJ86" s="70">
        <f>V91</f>
        <v>0</v>
      </c>
      <c r="AK86" s="88">
        <f>IFERROR(AI86/AJ86,0)</f>
        <v>0</v>
      </c>
      <c r="AL86" s="26"/>
    </row>
    <row r="87" spans="3:38" ht="15" customHeight="1">
      <c r="C87" s="154" t="s">
        <v>349</v>
      </c>
      <c r="D87" s="316">
        <f>AE48</f>
        <v>0</v>
      </c>
      <c r="E87" s="317"/>
      <c r="F87" s="318"/>
      <c r="G87" s="153">
        <f t="shared" ref="G87:G93" si="15">D87+E87+F87</f>
        <v>0</v>
      </c>
      <c r="H87" s="402">
        <f>V87</f>
        <v>0</v>
      </c>
      <c r="I87" s="359"/>
      <c r="J87" s="360"/>
      <c r="K87" s="360"/>
      <c r="L87" s="361"/>
      <c r="U87" s="196">
        <f>G87+G88</f>
        <v>0</v>
      </c>
      <c r="V87" s="70">
        <f>(G87+G88)</f>
        <v>0</v>
      </c>
      <c r="W87" s="93" t="s">
        <v>350</v>
      </c>
      <c r="X87" s="93" t="s">
        <v>351</v>
      </c>
      <c r="Y87" s="93" t="s">
        <v>352</v>
      </c>
      <c r="Z87" s="86" t="s">
        <v>341</v>
      </c>
      <c r="AH87" s="26"/>
      <c r="AI87" s="70">
        <f>SUM(AI80:AI86)</f>
        <v>0</v>
      </c>
      <c r="AJ87" s="26"/>
      <c r="AK87" s="88"/>
      <c r="AL87" s="26"/>
    </row>
    <row r="88" spans="3:38" ht="15" customHeight="1">
      <c r="C88" s="154" t="s">
        <v>353</v>
      </c>
      <c r="D88" s="319">
        <f>AE58</f>
        <v>0</v>
      </c>
      <c r="E88" s="320"/>
      <c r="F88" s="321"/>
      <c r="G88" s="153">
        <f t="shared" si="15"/>
        <v>0</v>
      </c>
      <c r="H88" s="403"/>
      <c r="I88" s="365"/>
      <c r="J88" s="366"/>
      <c r="K88" s="366"/>
      <c r="L88" s="367"/>
      <c r="U88" s="196"/>
      <c r="V88" s="70"/>
      <c r="W88" s="93" t="s">
        <v>350</v>
      </c>
      <c r="X88" s="93" t="s">
        <v>351</v>
      </c>
      <c r="Y88" s="93" t="s">
        <v>352</v>
      </c>
      <c r="Z88" s="86" t="s">
        <v>341</v>
      </c>
    </row>
    <row r="89" spans="3:38">
      <c r="C89" s="107" t="str">
        <f>"B1-B5, Drift og vedlikehold, "&amp;'Generelt om prosjektet'!C24&amp;" år"</f>
        <v>B1-B5, Drift og vedlikehold, 50 år</v>
      </c>
      <c r="D89" s="140"/>
      <c r="E89" s="140"/>
      <c r="F89" s="140"/>
      <c r="G89" s="153">
        <f t="shared" si="15"/>
        <v>0</v>
      </c>
      <c r="H89" s="22">
        <f>IFERROR(G89/V89,1)</f>
        <v>1</v>
      </c>
      <c r="I89" s="368"/>
      <c r="J89" s="369"/>
      <c r="K89" s="369"/>
      <c r="L89" s="370"/>
      <c r="U89" s="196">
        <f>G89</f>
        <v>0</v>
      </c>
      <c r="V89" s="89">
        <f>(SUM(AQ19:AQ24)+SUM(AV19:AV24))/1000</f>
        <v>0</v>
      </c>
      <c r="W89" s="90">
        <v>1.1000000000000001</v>
      </c>
      <c r="X89" s="90">
        <v>0.9</v>
      </c>
      <c r="Y89" s="90">
        <v>0.1</v>
      </c>
      <c r="Z89" s="91">
        <v>0</v>
      </c>
    </row>
    <row r="90" spans="3:38">
      <c r="C90" s="107" t="str">
        <f>"B6: Energi i drift, "&amp;'Generelt om prosjektet'!C24&amp;" år"</f>
        <v>B6: Energi i drift, 50 år</v>
      </c>
      <c r="D90" s="319">
        <f>SUM(AF36:AF39)</f>
        <v>0</v>
      </c>
      <c r="E90" s="320"/>
      <c r="F90" s="321"/>
      <c r="G90" s="153">
        <f t="shared" si="15"/>
        <v>0</v>
      </c>
      <c r="H90" s="22">
        <f>IFERROR(G90/V90,1)</f>
        <v>1</v>
      </c>
      <c r="I90" s="359"/>
      <c r="J90" s="360"/>
      <c r="K90" s="360"/>
      <c r="L90" s="361"/>
      <c r="U90" s="196">
        <f>G90</f>
        <v>0</v>
      </c>
      <c r="V90" s="89">
        <f>AQ50</f>
        <v>0</v>
      </c>
      <c r="W90" s="90">
        <v>1.1000000000000001</v>
      </c>
      <c r="X90" s="90">
        <v>0.9</v>
      </c>
      <c r="Y90" s="90">
        <v>0.1</v>
      </c>
      <c r="Z90" s="91">
        <v>0</v>
      </c>
    </row>
    <row r="91" spans="3:38">
      <c r="C91" s="154" t="s">
        <v>354</v>
      </c>
      <c r="D91" s="156"/>
      <c r="E91" s="156"/>
      <c r="F91" s="156"/>
      <c r="G91" s="153">
        <f t="shared" si="15"/>
        <v>0</v>
      </c>
      <c r="H91" s="22">
        <f>IFERROR(G91/V91,1)</f>
        <v>1</v>
      </c>
      <c r="I91" s="359"/>
      <c r="J91" s="360"/>
      <c r="K91" s="360"/>
      <c r="L91" s="361"/>
      <c r="U91" s="196">
        <f>G91</f>
        <v>0</v>
      </c>
      <c r="V91" s="89">
        <f>(SUM(AR19:AR25)+SUM(AW19:AW25))/1000</f>
        <v>0</v>
      </c>
      <c r="W91" s="90">
        <v>1.1000000000000001</v>
      </c>
      <c r="X91" s="90">
        <v>0.9</v>
      </c>
      <c r="Y91" s="90">
        <v>0.4</v>
      </c>
      <c r="Z91" s="91">
        <v>0</v>
      </c>
    </row>
    <row r="92" spans="3:38">
      <c r="C92" s="154" t="s">
        <v>355</v>
      </c>
      <c r="D92" s="152">
        <f>IF(E44=Nei,AF40,0)</f>
        <v>0</v>
      </c>
      <c r="E92" s="152"/>
      <c r="F92" s="152"/>
      <c r="G92" s="153">
        <f t="shared" si="15"/>
        <v>0</v>
      </c>
      <c r="H92" s="157" t="s">
        <v>341</v>
      </c>
      <c r="I92" s="359"/>
      <c r="J92" s="360"/>
      <c r="K92" s="360"/>
      <c r="L92" s="361"/>
      <c r="U92" s="196"/>
      <c r="V92" s="92"/>
      <c r="W92" s="94"/>
      <c r="X92" s="94"/>
      <c r="Y92" s="94"/>
    </row>
    <row r="93" spans="3:38">
      <c r="C93" s="172" t="s">
        <v>356</v>
      </c>
      <c r="D93" s="165">
        <f>SUM(D80:D92)</f>
        <v>0</v>
      </c>
      <c r="E93" s="165">
        <f>SUM(E80:E92)</f>
        <v>0</v>
      </c>
      <c r="F93" s="165">
        <f>SUM(F80:F92)</f>
        <v>0</v>
      </c>
      <c r="G93" s="165">
        <f t="shared" si="15"/>
        <v>0</v>
      </c>
      <c r="H93" s="210">
        <f>IFERROR(U93/V93,0)</f>
        <v>0</v>
      </c>
      <c r="I93" s="394"/>
      <c r="J93" s="395"/>
      <c r="K93" s="395"/>
      <c r="L93" s="396"/>
      <c r="U93" s="75">
        <f>SUM(U80:U92)</f>
        <v>0</v>
      </c>
      <c r="V93" s="75">
        <f>SUM(V80:V92)</f>
        <v>0</v>
      </c>
    </row>
    <row r="94" spans="3:38">
      <c r="C94" s="109"/>
      <c r="D94" s="109"/>
      <c r="E94" s="109"/>
      <c r="F94" s="109"/>
      <c r="G94" s="109"/>
      <c r="H94" s="109"/>
      <c r="I94" s="109"/>
      <c r="J94" s="109"/>
      <c r="K94" s="109"/>
      <c r="L94" s="109"/>
    </row>
    <row r="95" spans="3:38">
      <c r="C95" s="109"/>
      <c r="D95" s="109"/>
      <c r="E95" s="109"/>
      <c r="F95" s="109"/>
      <c r="G95" s="109"/>
      <c r="H95" s="109"/>
      <c r="I95" s="109"/>
      <c r="J95" s="109"/>
      <c r="K95" s="109"/>
      <c r="L95" s="109"/>
    </row>
    <row r="96" spans="3:38">
      <c r="C96" s="391" t="s">
        <v>357</v>
      </c>
      <c r="D96" s="363" t="str">
        <f>D78</f>
        <v>Tonn CO2 ekv, GWP. Klimagassutslippene er oppgit uten hensyn til binding av biogent karbon.</v>
      </c>
      <c r="E96" s="364"/>
      <c r="F96" s="364"/>
      <c r="G96" s="364"/>
      <c r="H96" s="393"/>
      <c r="I96" s="142" t="s">
        <v>90</v>
      </c>
      <c r="J96" s="158"/>
      <c r="K96" s="143"/>
      <c r="L96" s="144"/>
    </row>
    <row r="97" spans="3:24" ht="30" customHeight="1">
      <c r="C97" s="392"/>
      <c r="D97" s="145" t="s">
        <v>332</v>
      </c>
      <c r="E97" s="146" t="s">
        <v>156</v>
      </c>
      <c r="F97" s="146" t="s">
        <v>157</v>
      </c>
      <c r="G97" s="312" t="s">
        <v>183</v>
      </c>
      <c r="H97" s="313"/>
      <c r="I97" s="148"/>
      <c r="J97" s="159"/>
      <c r="K97" s="149"/>
      <c r="L97" s="150"/>
    </row>
    <row r="98" spans="3:24">
      <c r="C98" s="154" t="s">
        <v>358</v>
      </c>
      <c r="D98" s="322"/>
      <c r="E98" s="323"/>
      <c r="F98" s="152"/>
      <c r="G98" s="314">
        <f>D98</f>
        <v>0</v>
      </c>
      <c r="H98" s="315"/>
      <c r="I98" s="322"/>
      <c r="J98" s="379"/>
      <c r="K98" s="379"/>
      <c r="L98" s="323"/>
    </row>
    <row r="99" spans="3:24" ht="30" customHeight="1">
      <c r="C99" s="107" t="s">
        <v>46</v>
      </c>
      <c r="D99" s="310" t="str">
        <f ca="1">IF(AX32&gt;0,"Beregnet med "&amp;AX32&amp;" års 'restlevetid' til beregningsperioden på "&amp;'Generelt om prosjektet'!C24&amp;" år","")</f>
        <v/>
      </c>
      <c r="E99" s="311"/>
      <c r="F99" s="160">
        <f ca="1">SUM(AX33:BA33)/1000</f>
        <v>0</v>
      </c>
      <c r="G99" s="314">
        <f ca="1">F99</f>
        <v>0</v>
      </c>
      <c r="H99" s="315"/>
      <c r="I99" s="322"/>
      <c r="J99" s="379"/>
      <c r="K99" s="379"/>
      <c r="L99" s="323"/>
      <c r="V99" s="2"/>
    </row>
    <row r="100" spans="3:24">
      <c r="C100" s="420" t="s">
        <v>582</v>
      </c>
      <c r="D100" s="381"/>
      <c r="E100" s="381"/>
      <c r="F100" s="381"/>
      <c r="G100" s="381"/>
      <c r="H100" s="381"/>
      <c r="I100" s="381"/>
      <c r="J100" s="381"/>
      <c r="K100" s="381"/>
      <c r="L100" s="382"/>
    </row>
    <row r="101" spans="3:24">
      <c r="C101" s="383"/>
      <c r="D101" s="384"/>
      <c r="E101" s="384"/>
      <c r="F101" s="384"/>
      <c r="G101" s="384"/>
      <c r="H101" s="384"/>
      <c r="I101" s="384"/>
      <c r="J101" s="384"/>
      <c r="K101" s="384"/>
      <c r="L101" s="385"/>
    </row>
    <row r="102" spans="3:24">
      <c r="C102" s="383"/>
      <c r="D102" s="384"/>
      <c r="E102" s="384"/>
      <c r="F102" s="384"/>
      <c r="G102" s="384"/>
      <c r="H102" s="384"/>
      <c r="I102" s="384"/>
      <c r="J102" s="384"/>
      <c r="K102" s="384"/>
      <c r="L102" s="385"/>
    </row>
    <row r="103" spans="3:24">
      <c r="C103" s="386"/>
      <c r="D103" s="387"/>
      <c r="E103" s="387"/>
      <c r="F103" s="387"/>
      <c r="G103" s="387"/>
      <c r="H103" s="387"/>
      <c r="I103" s="387"/>
      <c r="J103" s="387"/>
      <c r="K103" s="387"/>
      <c r="L103" s="388"/>
    </row>
    <row r="107" spans="3:24" ht="24.9">
      <c r="C107" s="23" t="str">
        <f>"Alternativ 3: Resultat. B6: Energi i drift, "&amp;'Generelt om prosjektet'!C24&amp;" år, ulike utslippsfaktorer for energi"</f>
        <v>Alternativ 3: Resultat. B6: Energi i drift, 50 år, ulike utslippsfaktorer for energi</v>
      </c>
    </row>
    <row r="108" spans="3:24">
      <c r="C108" s="109"/>
      <c r="D108" s="109"/>
      <c r="E108" s="109"/>
      <c r="F108" s="109"/>
      <c r="G108" s="109"/>
      <c r="H108" s="109"/>
      <c r="I108" s="109"/>
    </row>
    <row r="109" spans="3:24">
      <c r="C109" s="109"/>
      <c r="D109" s="287" t="s">
        <v>359</v>
      </c>
      <c r="E109" s="287"/>
      <c r="F109" s="287"/>
      <c r="G109" s="109"/>
      <c r="H109" s="109"/>
      <c r="I109" s="109"/>
    </row>
    <row r="110" spans="3:24" ht="24.9">
      <c r="C110" s="118" t="s">
        <v>360</v>
      </c>
      <c r="D110" s="118" t="s">
        <v>361</v>
      </c>
      <c r="E110" s="118" t="s">
        <v>362</v>
      </c>
      <c r="F110" s="118" t="s">
        <v>363</v>
      </c>
      <c r="G110" s="161" t="str">
        <f>"Beregnet utslipp over "&amp;'Generelt om prosjektet'!C24&amp;" år"</f>
        <v>Beregnet utslipp over 50 år</v>
      </c>
      <c r="H110" s="145" t="s">
        <v>164</v>
      </c>
      <c r="I110" s="109"/>
    </row>
    <row r="111" spans="3:24">
      <c r="C111" s="107" t="s">
        <v>364</v>
      </c>
      <c r="D111" s="162">
        <f>Utslippsdata!C77</f>
        <v>1.7747665114285747E-2</v>
      </c>
      <c r="E111" s="162">
        <f>Utslippsdata!C83</f>
        <v>1.4693376033679371E-2</v>
      </c>
      <c r="F111" s="107">
        <f>E37</f>
        <v>0</v>
      </c>
      <c r="G111" s="153">
        <f>(($W$111+$W$114)*D111+$W$112*E111+$W$113*F111)*$W$115/1000</f>
        <v>0</v>
      </c>
      <c r="H111" s="107" t="s">
        <v>365</v>
      </c>
      <c r="I111" s="109"/>
      <c r="V111" s="26" t="s">
        <v>361</v>
      </c>
      <c r="W111" s="70">
        <f>E34</f>
        <v>0</v>
      </c>
      <c r="X111" s="26" t="s">
        <v>366</v>
      </c>
    </row>
    <row r="112" spans="3:24">
      <c r="C112" s="107" t="s">
        <v>367</v>
      </c>
      <c r="D112" s="162">
        <f>Utslippsdata!C76</f>
        <v>0.10462896495714274</v>
      </c>
      <c r="E112" s="162">
        <f>Utslippsdata!C80</f>
        <v>3.8751119274583641E-2</v>
      </c>
      <c r="F112" s="107">
        <f>E37</f>
        <v>0</v>
      </c>
      <c r="G112" s="153">
        <f>(($W$111+$W$114)*D112+$W$112*E112+$W$113*F112)*$W$115/1000</f>
        <v>0</v>
      </c>
      <c r="H112" s="107" t="s">
        <v>365</v>
      </c>
      <c r="I112" s="109"/>
      <c r="V112" s="26" t="s">
        <v>368</v>
      </c>
      <c r="W112" s="70">
        <f>E35</f>
        <v>0</v>
      </c>
      <c r="X112" s="26" t="s">
        <v>366</v>
      </c>
    </row>
    <row r="113" spans="3:27">
      <c r="C113" s="109"/>
      <c r="D113" s="109"/>
      <c r="E113" s="109"/>
      <c r="F113" s="109"/>
      <c r="G113" s="109"/>
      <c r="H113" s="109"/>
      <c r="I113" s="109"/>
      <c r="V113" s="26" t="s">
        <v>369</v>
      </c>
      <c r="W113" s="70">
        <f>E36</f>
        <v>0</v>
      </c>
      <c r="X113" s="26" t="s">
        <v>366</v>
      </c>
    </row>
    <row r="114" spans="3:27">
      <c r="C114" s="109"/>
      <c r="D114" s="287" t="s">
        <v>359</v>
      </c>
      <c r="E114" s="287"/>
      <c r="F114" s="287"/>
      <c r="G114" s="109"/>
      <c r="H114" s="109"/>
      <c r="I114" s="109"/>
      <c r="V114" s="26" t="s">
        <v>370</v>
      </c>
      <c r="W114" s="70">
        <f>E39</f>
        <v>0</v>
      </c>
      <c r="X114" s="26" t="s">
        <v>366</v>
      </c>
    </row>
    <row r="115" spans="3:27" ht="36.9">
      <c r="C115" s="146" t="s">
        <v>371</v>
      </c>
      <c r="D115" s="118" t="s">
        <v>361</v>
      </c>
      <c r="E115" s="118" t="s">
        <v>362</v>
      </c>
      <c r="F115" s="118" t="s">
        <v>363</v>
      </c>
      <c r="G115" s="161" t="str">
        <f>"Beregnet utslipp over "&amp;'Generelt om prosjektet'!C29&amp;" år"</f>
        <v>Beregnet utslipp over  år</v>
      </c>
      <c r="H115" s="145" t="s">
        <v>164</v>
      </c>
      <c r="I115" s="109"/>
      <c r="V115" s="26" t="s">
        <v>372</v>
      </c>
      <c r="W115" s="26">
        <f>'Generelt om prosjektet'!C24</f>
        <v>50</v>
      </c>
      <c r="X115" s="26"/>
    </row>
    <row r="116" spans="3:27">
      <c r="C116" s="107" t="s">
        <v>364</v>
      </c>
      <c r="D116" s="162">
        <f>D111</f>
        <v>1.7747665114285747E-2</v>
      </c>
      <c r="E116" s="162">
        <f>Utslippsdata!C84</f>
        <v>6.5088487419817986E-2</v>
      </c>
      <c r="F116" s="107">
        <f>E37</f>
        <v>0</v>
      </c>
      <c r="G116" s="153">
        <f>(($W$111+$W$114)*D116+$W$112*E116+$W$113*F116)*$W$115/1000</f>
        <v>0</v>
      </c>
      <c r="H116" s="107" t="s">
        <v>365</v>
      </c>
      <c r="I116" s="109"/>
    </row>
    <row r="117" spans="3:27">
      <c r="C117" s="163" t="s">
        <v>373</v>
      </c>
      <c r="D117" s="164">
        <f>D112</f>
        <v>0.10462896495714274</v>
      </c>
      <c r="E117" s="164">
        <f>Utslippsdata!C81</f>
        <v>8.9146230660722248E-2</v>
      </c>
      <c r="F117" s="163">
        <f>E37</f>
        <v>0</v>
      </c>
      <c r="G117" s="165">
        <f>(($W$111+$W$114)*D117+$W$112*E117+$W$113*F117)*$W$115/1000</f>
        <v>0</v>
      </c>
      <c r="H117" s="163" t="s">
        <v>365</v>
      </c>
      <c r="I117" s="109"/>
    </row>
    <row r="118" spans="3:27">
      <c r="C118" s="109"/>
      <c r="D118" s="109"/>
      <c r="E118" s="109"/>
      <c r="F118" s="109"/>
      <c r="G118" s="109"/>
      <c r="H118" s="109"/>
      <c r="I118" s="109"/>
    </row>
    <row r="119" spans="3:27">
      <c r="C119" s="109"/>
      <c r="D119" s="109"/>
      <c r="E119" s="109"/>
      <c r="F119" s="109"/>
      <c r="G119" s="109"/>
      <c r="H119" s="109"/>
      <c r="I119" s="109"/>
    </row>
    <row r="122" spans="3:27" ht="15" customHeight="1"/>
    <row r="123" spans="3:27" ht="15" customHeight="1"/>
    <row r="124" spans="3:27" ht="15" customHeight="1"/>
    <row r="125" spans="3:27">
      <c r="AA125" s="26" t="s">
        <v>268</v>
      </c>
    </row>
    <row r="126" spans="3:27">
      <c r="AA126" s="26" t="s">
        <v>260</v>
      </c>
    </row>
    <row r="127" spans="3:27" ht="27">
      <c r="C127" s="24" t="s">
        <v>425</v>
      </c>
      <c r="D127" s="68"/>
    </row>
    <row r="128" spans="3:27" ht="15" customHeight="1">
      <c r="C128" s="273" t="s">
        <v>375</v>
      </c>
      <c r="D128" s="274" t="s">
        <v>260</v>
      </c>
    </row>
    <row r="130" spans="3:50" ht="14.4" thickBot="1">
      <c r="C130" s="95" t="s">
        <v>376</v>
      </c>
    </row>
    <row r="131" spans="3:50" ht="110.4">
      <c r="C131" s="82" t="s">
        <v>377</v>
      </c>
      <c r="D131" s="83" t="s">
        <v>339</v>
      </c>
      <c r="E131" s="83" t="s">
        <v>378</v>
      </c>
      <c r="F131" s="83" t="s">
        <v>379</v>
      </c>
      <c r="G131" s="83" t="s">
        <v>168</v>
      </c>
      <c r="H131" s="83" t="s">
        <v>346</v>
      </c>
      <c r="I131" s="83" t="s">
        <v>347</v>
      </c>
      <c r="J131" s="83" t="s">
        <v>348</v>
      </c>
      <c r="K131" s="83" t="s">
        <v>349</v>
      </c>
      <c r="L131" s="83" t="s">
        <v>353</v>
      </c>
      <c r="M131" s="83" t="s">
        <v>380</v>
      </c>
      <c r="N131" s="83" t="s">
        <v>381</v>
      </c>
      <c r="O131" s="83" t="s">
        <v>358</v>
      </c>
      <c r="P131" s="83" t="s">
        <v>171</v>
      </c>
      <c r="Q131" s="83" t="s">
        <v>382</v>
      </c>
      <c r="R131" s="168" t="s">
        <v>383</v>
      </c>
      <c r="S131" s="168" t="s">
        <v>383</v>
      </c>
      <c r="T131" s="168" t="s">
        <v>383</v>
      </c>
      <c r="U131" s="166"/>
      <c r="AK131" s="96">
        <v>1</v>
      </c>
      <c r="AL131" s="97">
        <v>2</v>
      </c>
      <c r="AM131" s="97">
        <v>3</v>
      </c>
      <c r="AN131" s="97">
        <v>4</v>
      </c>
      <c r="AO131" s="97">
        <v>5</v>
      </c>
      <c r="AP131" s="97">
        <v>6</v>
      </c>
      <c r="AQ131" s="97">
        <v>7</v>
      </c>
      <c r="AR131" s="97">
        <v>8</v>
      </c>
      <c r="AS131" s="97">
        <v>9</v>
      </c>
      <c r="AT131" s="97">
        <v>10</v>
      </c>
      <c r="AU131" s="97">
        <v>11</v>
      </c>
      <c r="AV131" s="97">
        <v>12</v>
      </c>
      <c r="AW131" s="97">
        <v>13</v>
      </c>
      <c r="AX131" s="98"/>
    </row>
    <row r="132" spans="3:50">
      <c r="C132" s="26" t="s">
        <v>384</v>
      </c>
      <c r="D132" s="169"/>
      <c r="E132" s="169"/>
      <c r="F132" s="169"/>
      <c r="G132" s="169"/>
      <c r="H132" s="169"/>
      <c r="I132" s="169"/>
      <c r="J132" s="169"/>
      <c r="K132" s="169"/>
      <c r="L132" s="169"/>
      <c r="M132" s="169"/>
      <c r="N132" s="169"/>
      <c r="O132" s="169"/>
      <c r="P132" s="169"/>
      <c r="Q132" s="169"/>
      <c r="R132" s="169"/>
      <c r="S132" s="169"/>
      <c r="T132" s="169"/>
      <c r="U132" s="166"/>
      <c r="AK132" s="99" t="s">
        <v>385</v>
      </c>
      <c r="AL132" s="25" t="s">
        <v>386</v>
      </c>
      <c r="AM132" s="25" t="s">
        <v>159</v>
      </c>
      <c r="AN132" s="25" t="s">
        <v>4</v>
      </c>
      <c r="AO132" s="25" t="s">
        <v>164</v>
      </c>
      <c r="AW132" s="25" t="s">
        <v>387</v>
      </c>
      <c r="AX132" s="100"/>
    </row>
    <row r="133" spans="3:50" ht="14.1">
      <c r="C133" s="26" t="s">
        <v>388</v>
      </c>
      <c r="D133" s="169"/>
      <c r="E133" s="169"/>
      <c r="F133" s="169"/>
      <c r="G133" s="169"/>
      <c r="H133" s="169"/>
      <c r="I133" s="169"/>
      <c r="J133" s="169"/>
      <c r="K133" s="169"/>
      <c r="L133" s="169"/>
      <c r="M133" s="169"/>
      <c r="N133" s="169"/>
      <c r="O133" s="169"/>
      <c r="P133" s="169"/>
      <c r="Q133" s="169"/>
      <c r="R133" s="169"/>
      <c r="S133" s="169"/>
      <c r="T133" s="169"/>
      <c r="U133" s="166"/>
      <c r="AK133" s="101" t="s">
        <v>173</v>
      </c>
      <c r="AL133" s="26"/>
      <c r="AM133" s="26"/>
      <c r="AN133" s="26"/>
      <c r="AW133" s="95" t="s">
        <v>389</v>
      </c>
      <c r="AX133" s="100"/>
    </row>
    <row r="134" spans="3:50">
      <c r="C134" s="26" t="s">
        <v>390</v>
      </c>
      <c r="D134" s="37"/>
      <c r="E134" s="37"/>
      <c r="F134" s="37"/>
      <c r="G134" s="37"/>
      <c r="H134" s="37"/>
      <c r="I134" s="37"/>
      <c r="J134" s="37"/>
      <c r="K134" s="37"/>
      <c r="L134" s="37"/>
      <c r="M134" s="37"/>
      <c r="N134" s="37"/>
      <c r="O134" s="37"/>
      <c r="P134" s="37"/>
      <c r="Q134" s="37"/>
      <c r="R134" s="37"/>
      <c r="S134" s="37"/>
      <c r="T134" s="37"/>
      <c r="AK134" s="101" t="s">
        <v>249</v>
      </c>
      <c r="AL134" s="26" t="s">
        <v>249</v>
      </c>
      <c r="AM134" s="26" t="s">
        <v>391</v>
      </c>
      <c r="AN134" s="26" t="s">
        <v>205</v>
      </c>
      <c r="AO134" s="58" t="s">
        <v>301</v>
      </c>
      <c r="AW134" s="26" t="s">
        <v>249</v>
      </c>
      <c r="AX134" s="100"/>
    </row>
    <row r="135" spans="3:50">
      <c r="C135" s="26" t="s">
        <v>392</v>
      </c>
      <c r="D135" s="37"/>
      <c r="E135" s="37"/>
      <c r="F135" s="37"/>
      <c r="G135" s="37"/>
      <c r="H135" s="37"/>
      <c r="I135" s="37"/>
      <c r="J135" s="37"/>
      <c r="K135" s="37"/>
      <c r="L135" s="37"/>
      <c r="M135" s="37"/>
      <c r="N135" s="37"/>
      <c r="O135" s="37"/>
      <c r="P135" s="37"/>
      <c r="Q135" s="37"/>
      <c r="R135" s="37"/>
      <c r="S135" s="37"/>
      <c r="T135" s="37"/>
      <c r="AK135" s="101" t="s">
        <v>239</v>
      </c>
      <c r="AL135" s="26" t="s">
        <v>239</v>
      </c>
      <c r="AM135" s="26" t="s">
        <v>393</v>
      </c>
      <c r="AN135" s="26" t="s">
        <v>209</v>
      </c>
      <c r="AO135" s="58" t="s">
        <v>301</v>
      </c>
      <c r="AR135" s="48" t="s">
        <v>394</v>
      </c>
      <c r="AW135" s="26" t="s">
        <v>239</v>
      </c>
      <c r="AX135" s="100"/>
    </row>
    <row r="136" spans="3:50">
      <c r="C136" s="26" t="s">
        <v>395</v>
      </c>
      <c r="D136" s="37"/>
      <c r="E136" s="37"/>
      <c r="F136" s="37"/>
      <c r="G136" s="37"/>
      <c r="H136" s="37"/>
      <c r="I136" s="37"/>
      <c r="J136" s="37"/>
      <c r="K136" s="37"/>
      <c r="L136" s="37"/>
      <c r="M136" s="37"/>
      <c r="N136" s="37"/>
      <c r="O136" s="37"/>
      <c r="P136" s="37"/>
      <c r="Q136" s="37"/>
      <c r="R136" s="37"/>
      <c r="S136" s="37"/>
      <c r="T136" s="37"/>
      <c r="AK136" s="101" t="s">
        <v>253</v>
      </c>
      <c r="AL136" s="26" t="s">
        <v>253</v>
      </c>
      <c r="AM136" s="26" t="s">
        <v>396</v>
      </c>
      <c r="AN136" s="26" t="s">
        <v>213</v>
      </c>
      <c r="AO136" s="58" t="s">
        <v>301</v>
      </c>
      <c r="AW136" s="26" t="s">
        <v>253</v>
      </c>
      <c r="AX136" s="100"/>
    </row>
    <row r="137" spans="3:50">
      <c r="C137" s="26" t="s">
        <v>397</v>
      </c>
      <c r="D137" s="37"/>
      <c r="E137" s="37"/>
      <c r="F137" s="37"/>
      <c r="G137" s="37"/>
      <c r="H137" s="37"/>
      <c r="I137" s="37"/>
      <c r="J137" s="37"/>
      <c r="K137" s="37"/>
      <c r="L137" s="37"/>
      <c r="M137" s="37"/>
      <c r="N137" s="37"/>
      <c r="O137" s="37"/>
      <c r="P137" s="37"/>
      <c r="Q137" s="37"/>
      <c r="R137" s="37"/>
      <c r="S137" s="37"/>
      <c r="T137" s="37"/>
      <c r="AK137" s="101" t="s">
        <v>270</v>
      </c>
      <c r="AL137" s="26" t="s">
        <v>270</v>
      </c>
      <c r="AM137" s="26" t="s">
        <v>398</v>
      </c>
      <c r="AN137" s="26" t="s">
        <v>219</v>
      </c>
      <c r="AO137" s="58"/>
      <c r="AQ137" s="25" t="s">
        <v>399</v>
      </c>
      <c r="AR137" s="25" t="s">
        <v>400</v>
      </c>
      <c r="AS137" s="25" t="s">
        <v>400</v>
      </c>
      <c r="AW137" s="26" t="s">
        <v>270</v>
      </c>
      <c r="AX137" s="100"/>
    </row>
    <row r="138" spans="3:50">
      <c r="C138" s="26" t="s">
        <v>401</v>
      </c>
      <c r="D138" s="37"/>
      <c r="E138" s="37"/>
      <c r="F138" s="37"/>
      <c r="G138" s="37"/>
      <c r="H138" s="37"/>
      <c r="I138" s="37"/>
      <c r="J138" s="37"/>
      <c r="K138" s="37"/>
      <c r="L138" s="37"/>
      <c r="M138" s="37"/>
      <c r="N138" s="37"/>
      <c r="O138" s="37"/>
      <c r="P138" s="37"/>
      <c r="Q138" s="37"/>
      <c r="R138" s="37"/>
      <c r="S138" s="37"/>
      <c r="T138" s="37"/>
      <c r="AK138" s="101" t="s">
        <v>258</v>
      </c>
      <c r="AL138" s="26" t="s">
        <v>258</v>
      </c>
      <c r="AM138" s="26" t="s">
        <v>402</v>
      </c>
      <c r="AN138" s="26" t="s">
        <v>230</v>
      </c>
      <c r="AO138" s="58" t="s">
        <v>301</v>
      </c>
      <c r="AW138" s="26" t="s">
        <v>258</v>
      </c>
      <c r="AX138" s="100"/>
    </row>
    <row r="139" spans="3:50">
      <c r="C139" s="26" t="s">
        <v>403</v>
      </c>
      <c r="D139" s="37"/>
      <c r="E139" s="37"/>
      <c r="F139" s="37"/>
      <c r="G139" s="37"/>
      <c r="H139" s="37"/>
      <c r="I139" s="37"/>
      <c r="J139" s="37"/>
      <c r="K139" s="37"/>
      <c r="L139" s="37"/>
      <c r="M139" s="37"/>
      <c r="N139" s="37"/>
      <c r="O139" s="37"/>
      <c r="P139" s="37"/>
      <c r="Q139" s="37"/>
      <c r="R139" s="37"/>
      <c r="S139" s="37"/>
      <c r="T139" s="37"/>
      <c r="AK139" s="101" t="s">
        <v>232</v>
      </c>
      <c r="AL139" s="26" t="s">
        <v>404</v>
      </c>
      <c r="AM139" s="26" t="s">
        <v>405</v>
      </c>
      <c r="AN139" s="26" t="s">
        <v>237</v>
      </c>
      <c r="AO139" s="58" t="s">
        <v>301</v>
      </c>
      <c r="AW139" s="26" t="s">
        <v>404</v>
      </c>
      <c r="AX139" s="100"/>
    </row>
    <row r="140" spans="3:50">
      <c r="C140" s="167" t="s">
        <v>383</v>
      </c>
      <c r="D140" s="37"/>
      <c r="E140" s="37"/>
      <c r="F140" s="37"/>
      <c r="G140" s="37"/>
      <c r="H140" s="37"/>
      <c r="I140" s="37"/>
      <c r="J140" s="37"/>
      <c r="K140" s="37"/>
      <c r="L140" s="37"/>
      <c r="M140" s="37"/>
      <c r="N140" s="37"/>
      <c r="O140" s="37"/>
      <c r="P140" s="37"/>
      <c r="Q140" s="37"/>
      <c r="R140" s="37"/>
      <c r="S140" s="37"/>
      <c r="T140" s="37"/>
      <c r="AK140" s="101" t="s">
        <v>244</v>
      </c>
      <c r="AL140" s="26"/>
      <c r="AM140" s="26" t="s">
        <v>406</v>
      </c>
      <c r="AN140" s="26" t="s">
        <v>242</v>
      </c>
      <c r="AO140" s="58" t="s">
        <v>301</v>
      </c>
      <c r="AW140" s="102" t="s">
        <v>239</v>
      </c>
      <c r="AX140" s="100"/>
    </row>
    <row r="141" spans="3:50">
      <c r="C141" s="167" t="s">
        <v>383</v>
      </c>
      <c r="D141" s="37"/>
      <c r="E141" s="37"/>
      <c r="F141" s="37"/>
      <c r="G141" s="37"/>
      <c r="H141" s="37"/>
      <c r="I141" s="37"/>
      <c r="J141" s="37"/>
      <c r="K141" s="37"/>
      <c r="L141" s="37"/>
      <c r="M141" s="37"/>
      <c r="N141" s="37"/>
      <c r="O141" s="37"/>
      <c r="P141" s="37"/>
      <c r="Q141" s="37"/>
      <c r="R141" s="37"/>
      <c r="S141" s="37"/>
      <c r="T141" s="37"/>
      <c r="AK141" s="101" t="s">
        <v>271</v>
      </c>
      <c r="AL141" s="26"/>
      <c r="AM141" s="26" t="s">
        <v>407</v>
      </c>
      <c r="AN141" s="26" t="s">
        <v>247</v>
      </c>
      <c r="AO141" s="58" t="s">
        <v>301</v>
      </c>
      <c r="AX141" s="100"/>
    </row>
    <row r="142" spans="3:50">
      <c r="C142" s="167" t="s">
        <v>383</v>
      </c>
      <c r="D142" s="37"/>
      <c r="E142" s="37"/>
      <c r="F142" s="37"/>
      <c r="G142" s="37"/>
      <c r="H142" s="37"/>
      <c r="I142" s="37"/>
      <c r="J142" s="37"/>
      <c r="K142" s="37"/>
      <c r="L142" s="37"/>
      <c r="M142" s="37"/>
      <c r="N142" s="37"/>
      <c r="O142" s="37"/>
      <c r="P142" s="37"/>
      <c r="Q142" s="37"/>
      <c r="R142" s="37"/>
      <c r="S142" s="37"/>
      <c r="T142" s="37"/>
      <c r="AK142" s="101" t="s">
        <v>263</v>
      </c>
      <c r="AL142" s="26"/>
      <c r="AM142" s="26" t="s">
        <v>408</v>
      </c>
      <c r="AN142" s="26" t="s">
        <v>251</v>
      </c>
      <c r="AO142" s="58" t="s">
        <v>301</v>
      </c>
      <c r="AW142" s="26" t="s">
        <v>239</v>
      </c>
      <c r="AX142" s="100"/>
    </row>
    <row r="143" spans="3:50" ht="14.1">
      <c r="C143" s="197" t="s">
        <v>409</v>
      </c>
      <c r="D143" s="197">
        <f t="shared" ref="D143:T143" si="16">SUM(D132:D142)</f>
        <v>0</v>
      </c>
      <c r="E143" s="197">
        <f t="shared" si="16"/>
        <v>0</v>
      </c>
      <c r="F143" s="197">
        <f t="shared" si="16"/>
        <v>0</v>
      </c>
      <c r="G143" s="197">
        <f t="shared" si="16"/>
        <v>0</v>
      </c>
      <c r="H143" s="197">
        <f t="shared" si="16"/>
        <v>0</v>
      </c>
      <c r="I143" s="197">
        <f t="shared" si="16"/>
        <v>0</v>
      </c>
      <c r="J143" s="197">
        <f t="shared" si="16"/>
        <v>0</v>
      </c>
      <c r="K143" s="197">
        <f t="shared" si="16"/>
        <v>0</v>
      </c>
      <c r="L143" s="197">
        <f t="shared" si="16"/>
        <v>0</v>
      </c>
      <c r="M143" s="197">
        <f t="shared" si="16"/>
        <v>0</v>
      </c>
      <c r="N143" s="197">
        <f t="shared" si="16"/>
        <v>0</v>
      </c>
      <c r="O143" s="197">
        <f t="shared" si="16"/>
        <v>0</v>
      </c>
      <c r="P143" s="197">
        <f t="shared" si="16"/>
        <v>0</v>
      </c>
      <c r="Q143" s="197">
        <f t="shared" si="16"/>
        <v>0</v>
      </c>
      <c r="R143" s="197">
        <f t="shared" si="16"/>
        <v>0</v>
      </c>
      <c r="S143" s="197">
        <f t="shared" si="16"/>
        <v>0</v>
      </c>
      <c r="T143" s="197">
        <f t="shared" si="16"/>
        <v>0</v>
      </c>
      <c r="AK143" s="101" t="s">
        <v>267</v>
      </c>
      <c r="AL143" s="26" t="s">
        <v>410</v>
      </c>
      <c r="AM143" s="26" t="s">
        <v>411</v>
      </c>
      <c r="AN143" s="26" t="s">
        <v>219</v>
      </c>
      <c r="AO143" s="58"/>
      <c r="AQ143" s="25" t="s">
        <v>399</v>
      </c>
      <c r="AR143" s="25" t="s">
        <v>400</v>
      </c>
      <c r="AW143" s="26" t="s">
        <v>410</v>
      </c>
      <c r="AX143" s="100"/>
    </row>
    <row r="144" spans="3:50">
      <c r="I144" s="48"/>
      <c r="AK144" s="101" t="s">
        <v>277</v>
      </c>
      <c r="AL144" s="26" t="s">
        <v>410</v>
      </c>
      <c r="AM144" s="26" t="s">
        <v>412</v>
      </c>
      <c r="AN144" s="26" t="s">
        <v>219</v>
      </c>
      <c r="AO144" s="58"/>
      <c r="AQ144" s="25" t="s">
        <v>399</v>
      </c>
      <c r="AR144" s="25" t="s">
        <v>400</v>
      </c>
      <c r="AW144" s="26" t="s">
        <v>410</v>
      </c>
      <c r="AX144" s="100"/>
    </row>
    <row r="145" spans="3:50">
      <c r="AK145" s="101" t="s">
        <v>413</v>
      </c>
      <c r="AL145" s="26"/>
      <c r="AM145" s="26" t="s">
        <v>414</v>
      </c>
      <c r="AN145" s="26" t="s">
        <v>219</v>
      </c>
      <c r="AO145" s="58"/>
      <c r="AQ145" s="25" t="s">
        <v>399</v>
      </c>
      <c r="AR145" s="25" t="s">
        <v>400</v>
      </c>
      <c r="AW145" s="25" t="s">
        <v>415</v>
      </c>
      <c r="AX145" s="100"/>
    </row>
    <row r="146" spans="3:50" ht="14.1">
      <c r="C146" s="95" t="s">
        <v>416</v>
      </c>
      <c r="AK146" s="99"/>
      <c r="AX146" s="100"/>
    </row>
    <row r="147" spans="3:50" ht="110.4">
      <c r="C147" s="30" t="s">
        <v>377</v>
      </c>
      <c r="D147" s="83" t="s">
        <v>339</v>
      </c>
      <c r="E147" s="83" t="s">
        <v>378</v>
      </c>
      <c r="F147" s="83" t="s">
        <v>379</v>
      </c>
      <c r="G147" s="83" t="s">
        <v>168</v>
      </c>
      <c r="H147" s="83" t="s">
        <v>346</v>
      </c>
      <c r="I147" s="83" t="s">
        <v>347</v>
      </c>
      <c r="J147" s="83" t="s">
        <v>348</v>
      </c>
      <c r="K147" s="83" t="s">
        <v>349</v>
      </c>
      <c r="L147" s="83" t="s">
        <v>353</v>
      </c>
      <c r="M147" s="83" t="s">
        <v>380</v>
      </c>
      <c r="N147" s="83" t="s">
        <v>381</v>
      </c>
      <c r="O147" s="83" t="s">
        <v>358</v>
      </c>
      <c r="P147" s="83" t="s">
        <v>171</v>
      </c>
      <c r="Q147" s="83" t="s">
        <v>382</v>
      </c>
      <c r="R147" s="168" t="s">
        <v>383</v>
      </c>
      <c r="S147" s="168" t="s">
        <v>383</v>
      </c>
      <c r="T147" s="168" t="s">
        <v>383</v>
      </c>
      <c r="AK147" s="99" t="str">
        <f>AK133</f>
        <v>Velg arealtype</v>
      </c>
      <c r="AX147" s="100"/>
    </row>
    <row r="148" spans="3:50">
      <c r="C148" s="26" t="s">
        <v>384</v>
      </c>
      <c r="D148" s="169"/>
      <c r="E148" s="169"/>
      <c r="F148" s="169"/>
      <c r="G148" s="169"/>
      <c r="H148" s="169"/>
      <c r="I148" s="169"/>
      <c r="J148" s="169"/>
      <c r="K148" s="169"/>
      <c r="L148" s="169"/>
      <c r="M148" s="169"/>
      <c r="N148" s="169"/>
      <c r="O148" s="169"/>
      <c r="P148" s="169"/>
      <c r="Q148" s="169"/>
      <c r="R148" s="169"/>
      <c r="S148" s="169"/>
      <c r="T148" s="169"/>
      <c r="AK148" s="101" t="s">
        <v>146</v>
      </c>
      <c r="AL148" s="26" t="s">
        <v>417</v>
      </c>
      <c r="AM148" s="26" t="s">
        <v>418</v>
      </c>
      <c r="AN148" s="26" t="s">
        <v>219</v>
      </c>
      <c r="AO148" s="58"/>
      <c r="AQ148" s="25" t="s">
        <v>399</v>
      </c>
      <c r="AR148" s="25" t="s">
        <v>400</v>
      </c>
      <c r="AW148" s="26" t="s">
        <v>417</v>
      </c>
      <c r="AX148" s="100"/>
    </row>
    <row r="149" spans="3:50">
      <c r="C149" s="26" t="s">
        <v>388</v>
      </c>
      <c r="D149" s="169"/>
      <c r="E149" s="169"/>
      <c r="F149" s="169"/>
      <c r="G149" s="169"/>
      <c r="H149" s="169"/>
      <c r="I149" s="169"/>
      <c r="J149" s="169"/>
      <c r="K149" s="169"/>
      <c r="L149" s="169"/>
      <c r="M149" s="169"/>
      <c r="N149" s="169"/>
      <c r="O149" s="169"/>
      <c r="P149" s="169"/>
      <c r="Q149" s="169"/>
      <c r="R149" s="169"/>
      <c r="S149" s="169"/>
      <c r="T149" s="169"/>
      <c r="AK149" s="101" t="s">
        <v>144</v>
      </c>
      <c r="AL149" s="26" t="s">
        <v>419</v>
      </c>
      <c r="AM149" s="26" t="s">
        <v>420</v>
      </c>
      <c r="AN149" s="26" t="s">
        <v>257</v>
      </c>
      <c r="AO149" s="58" t="s">
        <v>301</v>
      </c>
      <c r="AW149" s="26" t="s">
        <v>419</v>
      </c>
      <c r="AX149" s="100"/>
    </row>
    <row r="150" spans="3:50">
      <c r="C150" s="26" t="s">
        <v>390</v>
      </c>
      <c r="D150" s="37"/>
      <c r="E150" s="37"/>
      <c r="F150" s="37"/>
      <c r="G150" s="37"/>
      <c r="H150" s="37"/>
      <c r="I150" s="37"/>
      <c r="J150" s="37"/>
      <c r="K150" s="37"/>
      <c r="L150" s="37"/>
      <c r="M150" s="37"/>
      <c r="N150" s="37"/>
      <c r="O150" s="37"/>
      <c r="P150" s="37"/>
      <c r="Q150" s="37"/>
      <c r="R150" s="37"/>
      <c r="S150" s="37"/>
      <c r="T150" s="37"/>
      <c r="AK150" s="101"/>
      <c r="AL150" s="26"/>
      <c r="AM150" s="26"/>
      <c r="AN150" s="26"/>
      <c r="AX150" s="100"/>
    </row>
    <row r="151" spans="3:50" ht="14.1" thickBot="1">
      <c r="C151" s="26" t="s">
        <v>392</v>
      </c>
      <c r="D151" s="37"/>
      <c r="E151" s="37"/>
      <c r="F151" s="37"/>
      <c r="G151" s="37"/>
      <c r="H151" s="37"/>
      <c r="I151" s="37"/>
      <c r="J151" s="37"/>
      <c r="K151" s="37"/>
      <c r="L151" s="37"/>
      <c r="M151" s="37"/>
      <c r="N151" s="37"/>
      <c r="O151" s="37"/>
      <c r="P151" s="37"/>
      <c r="Q151" s="37"/>
      <c r="R151" s="37"/>
      <c r="S151" s="37"/>
      <c r="T151" s="37"/>
      <c r="AK151" s="103" t="s">
        <v>421</v>
      </c>
      <c r="AL151" s="104"/>
      <c r="AM151" s="104"/>
      <c r="AN151" s="104"/>
      <c r="AO151" s="105"/>
      <c r="AP151" s="105"/>
      <c r="AQ151" s="105"/>
      <c r="AR151" s="105"/>
      <c r="AS151" s="105"/>
      <c r="AT151" s="105"/>
      <c r="AU151" s="105"/>
      <c r="AV151" s="105"/>
      <c r="AW151" s="105"/>
      <c r="AX151" s="106"/>
    </row>
    <row r="152" spans="3:50">
      <c r="C152" s="26" t="s">
        <v>395</v>
      </c>
      <c r="D152" s="37"/>
      <c r="E152" s="37"/>
      <c r="F152" s="37"/>
      <c r="G152" s="37"/>
      <c r="H152" s="37"/>
      <c r="I152" s="37"/>
      <c r="J152" s="37"/>
      <c r="K152" s="37"/>
      <c r="L152" s="37"/>
      <c r="M152" s="37"/>
      <c r="N152" s="37"/>
      <c r="O152" s="37"/>
      <c r="P152" s="37"/>
      <c r="Q152" s="37"/>
      <c r="R152" s="37"/>
      <c r="S152" s="37"/>
      <c r="T152" s="37"/>
    </row>
    <row r="153" spans="3:50">
      <c r="C153" s="26" t="s">
        <v>397</v>
      </c>
      <c r="D153" s="37"/>
      <c r="E153" s="37"/>
      <c r="F153" s="37"/>
      <c r="G153" s="37"/>
      <c r="H153" s="37"/>
      <c r="I153" s="37"/>
      <c r="J153" s="37"/>
      <c r="K153" s="37"/>
      <c r="L153" s="37"/>
      <c r="M153" s="37"/>
      <c r="N153" s="37"/>
      <c r="O153" s="37"/>
      <c r="P153" s="37"/>
      <c r="Q153" s="37"/>
      <c r="R153" s="37"/>
      <c r="S153" s="37"/>
      <c r="T153" s="37"/>
    </row>
    <row r="154" spans="3:50">
      <c r="C154" s="26" t="s">
        <v>401</v>
      </c>
      <c r="D154" s="37"/>
      <c r="E154" s="37"/>
      <c r="F154" s="37"/>
      <c r="G154" s="37"/>
      <c r="H154" s="37"/>
      <c r="I154" s="37"/>
      <c r="J154" s="37"/>
      <c r="K154" s="37"/>
      <c r="L154" s="37"/>
      <c r="M154" s="37"/>
      <c r="N154" s="37"/>
      <c r="O154" s="37"/>
      <c r="P154" s="37"/>
      <c r="Q154" s="37"/>
      <c r="R154" s="37"/>
      <c r="S154" s="37"/>
      <c r="T154" s="37"/>
    </row>
    <row r="155" spans="3:50">
      <c r="C155" s="26" t="s">
        <v>403</v>
      </c>
      <c r="D155" s="37"/>
      <c r="E155" s="37"/>
      <c r="F155" s="37"/>
      <c r="G155" s="37"/>
      <c r="H155" s="37"/>
      <c r="I155" s="37"/>
      <c r="J155" s="37"/>
      <c r="K155" s="37"/>
      <c r="L155" s="37"/>
      <c r="M155" s="37"/>
      <c r="N155" s="37"/>
      <c r="O155" s="37"/>
      <c r="P155" s="37"/>
      <c r="Q155" s="37"/>
      <c r="R155" s="37"/>
      <c r="S155" s="37"/>
      <c r="T155" s="37"/>
    </row>
    <row r="156" spans="3:50">
      <c r="C156" s="167" t="s">
        <v>383</v>
      </c>
      <c r="D156" s="37"/>
      <c r="E156" s="37"/>
      <c r="F156" s="37"/>
      <c r="G156" s="37"/>
      <c r="H156" s="37"/>
      <c r="I156" s="37"/>
      <c r="J156" s="37"/>
      <c r="K156" s="37"/>
      <c r="L156" s="37"/>
      <c r="M156" s="37"/>
      <c r="N156" s="37"/>
      <c r="O156" s="37"/>
      <c r="P156" s="37"/>
      <c r="Q156" s="37"/>
      <c r="R156" s="37"/>
      <c r="S156" s="37"/>
      <c r="T156" s="37"/>
    </row>
    <row r="157" spans="3:50">
      <c r="C157" s="167" t="s">
        <v>383</v>
      </c>
      <c r="D157" s="37"/>
      <c r="E157" s="37"/>
      <c r="F157" s="37"/>
      <c r="G157" s="37"/>
      <c r="H157" s="37"/>
      <c r="I157" s="37"/>
      <c r="J157" s="37"/>
      <c r="K157" s="37"/>
      <c r="L157" s="37"/>
      <c r="M157" s="37"/>
      <c r="N157" s="37"/>
      <c r="O157" s="37"/>
      <c r="P157" s="37"/>
      <c r="Q157" s="37"/>
      <c r="R157" s="37"/>
      <c r="S157" s="37"/>
      <c r="T157" s="37"/>
    </row>
    <row r="158" spans="3:50">
      <c r="C158" s="167" t="s">
        <v>383</v>
      </c>
      <c r="D158" s="37"/>
      <c r="E158" s="37"/>
      <c r="F158" s="37"/>
      <c r="G158" s="37"/>
      <c r="H158" s="37"/>
      <c r="I158" s="37"/>
      <c r="J158" s="37"/>
      <c r="K158" s="37"/>
      <c r="L158" s="37"/>
      <c r="M158" s="37"/>
      <c r="N158" s="37"/>
      <c r="O158" s="37"/>
      <c r="P158" s="37"/>
      <c r="Q158" s="37"/>
      <c r="R158" s="37"/>
      <c r="S158" s="37"/>
      <c r="T158" s="37"/>
    </row>
    <row r="159" spans="3:50" ht="14.1">
      <c r="C159" s="197" t="s">
        <v>409</v>
      </c>
      <c r="D159" s="197">
        <f t="shared" ref="D159:T159" si="17">SUM(D148:D158)</f>
        <v>0</v>
      </c>
      <c r="E159" s="197">
        <f t="shared" si="17"/>
        <v>0</v>
      </c>
      <c r="F159" s="197">
        <f t="shared" si="17"/>
        <v>0</v>
      </c>
      <c r="G159" s="197">
        <f t="shared" si="17"/>
        <v>0</v>
      </c>
      <c r="H159" s="197">
        <f t="shared" si="17"/>
        <v>0</v>
      </c>
      <c r="I159" s="197">
        <f t="shared" si="17"/>
        <v>0</v>
      </c>
      <c r="J159" s="197">
        <f t="shared" si="17"/>
        <v>0</v>
      </c>
      <c r="K159" s="197">
        <f t="shared" si="17"/>
        <v>0</v>
      </c>
      <c r="L159" s="197">
        <f t="shared" si="17"/>
        <v>0</v>
      </c>
      <c r="M159" s="197">
        <f t="shared" si="17"/>
        <v>0</v>
      </c>
      <c r="N159" s="197">
        <f t="shared" si="17"/>
        <v>0</v>
      </c>
      <c r="O159" s="197">
        <f t="shared" si="17"/>
        <v>0</v>
      </c>
      <c r="P159" s="197">
        <f t="shared" si="17"/>
        <v>0</v>
      </c>
      <c r="Q159" s="197">
        <f t="shared" si="17"/>
        <v>0</v>
      </c>
      <c r="R159" s="197">
        <f t="shared" si="17"/>
        <v>0</v>
      </c>
      <c r="S159" s="197">
        <f t="shared" si="17"/>
        <v>0</v>
      </c>
      <c r="T159" s="197">
        <f t="shared" si="17"/>
        <v>0</v>
      </c>
    </row>
  </sheetData>
  <sheetProtection algorithmName="SHA-512" hashValue="59widxnFjJvWnYIXXUray4PepgSAPdjH3kbEXbMn1H8jdAOcpv5kVhf2n9PJTjG484nsDgkEE4bfDlkE2EjInQ==" saltValue="48bDQdnEXrpoM9zXwAJxig==" spinCount="100000" sheet="1" objects="1" scenarios="1"/>
  <mergeCells count="92">
    <mergeCell ref="I99:L99"/>
    <mergeCell ref="C100:L103"/>
    <mergeCell ref="D109:F109"/>
    <mergeCell ref="D114:F114"/>
    <mergeCell ref="C96:C97"/>
    <mergeCell ref="D96:H96"/>
    <mergeCell ref="G97:H97"/>
    <mergeCell ref="D98:E98"/>
    <mergeCell ref="G98:H98"/>
    <mergeCell ref="D99:E99"/>
    <mergeCell ref="G99:H99"/>
    <mergeCell ref="I98:L98"/>
    <mergeCell ref="I93:L93"/>
    <mergeCell ref="D86:F86"/>
    <mergeCell ref="I86:L86"/>
    <mergeCell ref="D87:F87"/>
    <mergeCell ref="H87:H88"/>
    <mergeCell ref="I87:L87"/>
    <mergeCell ref="D88:F88"/>
    <mergeCell ref="I88:L88"/>
    <mergeCell ref="I89:L89"/>
    <mergeCell ref="D90:F90"/>
    <mergeCell ref="I90:L90"/>
    <mergeCell ref="I91:L91"/>
    <mergeCell ref="I92:L92"/>
    <mergeCell ref="D85:F85"/>
    <mergeCell ref="I85:L85"/>
    <mergeCell ref="V65:Z65"/>
    <mergeCell ref="F66:J66"/>
    <mergeCell ref="G67:J67"/>
    <mergeCell ref="G68:J68"/>
    <mergeCell ref="G69:J69"/>
    <mergeCell ref="I80:L80"/>
    <mergeCell ref="I81:L81"/>
    <mergeCell ref="I82:L82"/>
    <mergeCell ref="I83:L83"/>
    <mergeCell ref="I84:L84"/>
    <mergeCell ref="C78:C79"/>
    <mergeCell ref="D78:G78"/>
    <mergeCell ref="H78:H79"/>
    <mergeCell ref="F60:J60"/>
    <mergeCell ref="F61:J61"/>
    <mergeCell ref="F62:J62"/>
    <mergeCell ref="F63:J63"/>
    <mergeCell ref="F64:J64"/>
    <mergeCell ref="F65:J65"/>
    <mergeCell ref="F57:J57"/>
    <mergeCell ref="AO36:AT36"/>
    <mergeCell ref="G37:J37"/>
    <mergeCell ref="G38:J38"/>
    <mergeCell ref="G39:J39"/>
    <mergeCell ref="F44:J44"/>
    <mergeCell ref="G36:J36"/>
    <mergeCell ref="H50:J50"/>
    <mergeCell ref="H51:J51"/>
    <mergeCell ref="F54:J54"/>
    <mergeCell ref="F55:J55"/>
    <mergeCell ref="F56:J56"/>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11:O11"/>
    <mergeCell ref="V1:BB1"/>
    <mergeCell ref="C7:O7"/>
    <mergeCell ref="D8:O8"/>
    <mergeCell ref="D9:O9"/>
    <mergeCell ref="D10:O10"/>
    <mergeCell ref="AN16:BB16"/>
    <mergeCell ref="E17:F17"/>
    <mergeCell ref="G17:H17"/>
    <mergeCell ref="I17:J17"/>
    <mergeCell ref="K17:K18"/>
    <mergeCell ref="L17:N17"/>
    <mergeCell ref="AG17:AK17"/>
    <mergeCell ref="AN17:AR17"/>
    <mergeCell ref="AS17:AW17"/>
    <mergeCell ref="AX17:BB17"/>
  </mergeCells>
  <conditionalFormatting sqref="C29:J30">
    <cfRule type="expression" dxfId="101" priority="32">
      <formula>$V$40=0</formula>
    </cfRule>
  </conditionalFormatting>
  <conditionalFormatting sqref="K19:K24">
    <cfRule type="expression" dxfId="100" priority="31">
      <formula>V19=1</formula>
    </cfRule>
  </conditionalFormatting>
  <conditionalFormatting sqref="E19:J19 E20:H21 J20:J21 E22:J22 E23:I24">
    <cfRule type="expression" dxfId="99" priority="29">
      <formula>$W19=0</formula>
    </cfRule>
    <cfRule type="expression" dxfId="98" priority="30">
      <formula>$W19=1</formula>
    </cfRule>
  </conditionalFormatting>
  <conditionalFormatting sqref="M19:N24">
    <cfRule type="expression" dxfId="97" priority="27">
      <formula>$X19=0</formula>
    </cfRule>
    <cfRule type="expression" dxfId="96" priority="28">
      <formula>$X19=1</formula>
    </cfRule>
  </conditionalFormatting>
  <conditionalFormatting sqref="N19:N24">
    <cfRule type="expression" dxfId="95" priority="26">
      <formula>$L19&lt;&gt;""</formula>
    </cfRule>
  </conditionalFormatting>
  <conditionalFormatting sqref="C43:J43 C44:F44 C45:C46">
    <cfRule type="expression" dxfId="94" priority="25">
      <formula>$V$46=0</formula>
    </cfRule>
  </conditionalFormatting>
  <conditionalFormatting sqref="I20:I21">
    <cfRule type="expression" dxfId="93" priority="23">
      <formula>$W20=0</formula>
    </cfRule>
    <cfRule type="expression" dxfId="92" priority="24">
      <formula>$W20=1</formula>
    </cfRule>
  </conditionalFormatting>
  <conditionalFormatting sqref="H85">
    <cfRule type="iconSet" priority="19">
      <iconSet>
        <cfvo type="percent" val="0"/>
        <cfvo type="percent" val="33"/>
        <cfvo type="percent" val="67"/>
      </iconSet>
    </cfRule>
  </conditionalFormatting>
  <conditionalFormatting sqref="J23:J24">
    <cfRule type="expression" dxfId="91" priority="33">
      <formula>$W23=0</formula>
    </cfRule>
    <cfRule type="expression" dxfId="90" priority="34">
      <formula>$W23=1</formula>
    </cfRule>
  </conditionalFormatting>
  <conditionalFormatting sqref="E25:F26">
    <cfRule type="expression" dxfId="89" priority="35">
      <formula>$V$29=0</formula>
    </cfRule>
    <cfRule type="expression" dxfId="88" priority="36">
      <formula>$V$29&gt;0</formula>
    </cfRule>
  </conditionalFormatting>
  <conditionalFormatting sqref="G25:H26">
    <cfRule type="expression" dxfId="87" priority="37">
      <formula>$W$29=0</formula>
    </cfRule>
    <cfRule type="expression" dxfId="86" priority="38">
      <formula>$W$29&gt;0</formula>
    </cfRule>
  </conditionalFormatting>
  <conditionalFormatting sqref="I27:J27">
    <cfRule type="expression" dxfId="85" priority="39">
      <formula>$X$29=0</formula>
    </cfRule>
    <cfRule type="expression" dxfId="84" priority="40">
      <formula>$X$29&gt;0</formula>
    </cfRule>
  </conditionalFormatting>
  <conditionalFormatting sqref="D80:D91">
    <cfRule type="expression" dxfId="83" priority="41">
      <formula>$V$29=0</formula>
    </cfRule>
  </conditionalFormatting>
  <conditionalFormatting sqref="E80:E84 E89 E91">
    <cfRule type="expression" dxfId="82" priority="42">
      <formula>$W$29=0</formula>
    </cfRule>
  </conditionalFormatting>
  <conditionalFormatting sqref="F82:F84 F89 F91">
    <cfRule type="expression" dxfId="81" priority="43">
      <formula>$V$30=0</formula>
    </cfRule>
  </conditionalFormatting>
  <conditionalFormatting sqref="G27:H27">
    <cfRule type="expression" dxfId="80" priority="44">
      <formula>$W$29&gt;0</formula>
    </cfRule>
  </conditionalFormatting>
  <conditionalFormatting sqref="F44:J44">
    <cfRule type="expression" dxfId="79" priority="11">
      <formula>$V$46=0</formula>
    </cfRule>
  </conditionalFormatting>
  <conditionalFormatting sqref="D92">
    <cfRule type="expression" dxfId="78" priority="4">
      <formula>$D$92=0</formula>
    </cfRule>
    <cfRule type="expression" dxfId="77" priority="45">
      <formula>$E$44&lt;&gt;Nei</formula>
    </cfRule>
  </conditionalFormatting>
  <conditionalFormatting sqref="E37">
    <cfRule type="expression" dxfId="76" priority="9">
      <formula>$E$36=""</formula>
    </cfRule>
    <cfRule type="expression" dxfId="75" priority="10">
      <formula>$E$36=0</formula>
    </cfRule>
  </conditionalFormatting>
  <conditionalFormatting sqref="D86:F86">
    <cfRule type="expression" dxfId="74" priority="8">
      <formula>$D$86=0</formula>
    </cfRule>
  </conditionalFormatting>
  <conditionalFormatting sqref="D87:F87">
    <cfRule type="expression" dxfId="73" priority="7">
      <formula>$D$87=0</formula>
    </cfRule>
  </conditionalFormatting>
  <conditionalFormatting sqref="D88:F88">
    <cfRule type="expression" dxfId="72" priority="6">
      <formula>$D$88=0</formula>
    </cfRule>
  </conditionalFormatting>
  <conditionalFormatting sqref="D90:F90">
    <cfRule type="expression" dxfId="71" priority="5">
      <formula>$D$90=0</formula>
    </cfRule>
  </conditionalFormatting>
  <conditionalFormatting sqref="AB4:AC4">
    <cfRule type="expression" dxfId="70" priority="3">
      <formula>$Z$11=0</formula>
    </cfRule>
  </conditionalFormatting>
  <conditionalFormatting sqref="C130:T159">
    <cfRule type="expression" dxfId="69" priority="2">
      <formula>$D$128=$AA$126</formula>
    </cfRule>
  </conditionalFormatting>
  <conditionalFormatting sqref="D81">
    <cfRule type="expression" dxfId="68" priority="1">
      <formula>$E$25+$E$26=0</formula>
    </cfRule>
  </conditionalFormatting>
  <dataValidations count="7">
    <dataValidation type="whole" operator="lessThan" allowBlank="1" showInputMessage="1" showErrorMessage="1" error="Oppgi produsert strøm fra solceller som negativt tall" sqref="E39" xr:uid="{5F590F0F-EBAE-40B7-97CA-A7A81D18AB87}">
      <formula1>1</formula1>
    </dataValidation>
    <dataValidation type="list" allowBlank="1" showInputMessage="1" showErrorMessage="1" sqref="E44" xr:uid="{6AE3A491-E664-4C62-9D14-FF0AA203238C}">
      <formula1>$AA$45:$AA$47</formula1>
    </dataValidation>
    <dataValidation type="list" allowBlank="1" showInputMessage="1" showErrorMessage="1" sqref="D41" xr:uid="{11EE09BD-9034-4502-9852-D8F263E0357B}">
      <formula1>$AA$40:$AA$42</formula1>
    </dataValidation>
    <dataValidation type="list" allowBlank="1" showInputMessage="1" showErrorMessage="1" sqref="G50:G51" xr:uid="{33682CB6-F4B4-4C24-8CA2-CBD021747F36}">
      <formula1>$V$53:$V$56</formula1>
    </dataValidation>
    <dataValidation type="list" allowBlank="1" showInputMessage="1" showErrorMessage="1" sqref="D23:D24" xr:uid="{A3D30A16-5FAE-4C4D-BED4-6157B7C2F0DD}">
      <formula1>$AK$147:$AK$149</formula1>
    </dataValidation>
    <dataValidation type="list" allowBlank="1" showInputMessage="1" showErrorMessage="1" sqref="D19:D22" xr:uid="{19AFA33B-AAF5-44CB-882D-4025D28CFA0B}">
      <formula1>$AK$133:$AK$145</formula1>
    </dataValidation>
    <dataValidation type="list" allowBlank="1" showInputMessage="1" showErrorMessage="1" sqref="D128" xr:uid="{7B0A2570-427A-46A8-8A22-DF6EB2A6DDC7}">
      <formula1>$AA$125:$AA$126</formula1>
    </dataValidation>
  </dataValidations>
  <pageMargins left="0.7" right="0.7" top="0.75" bottom="0.75" header="0.3" footer="0.3"/>
  <pageSetup paperSize="9" scale="38"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1" id="{0FE9D778-6C43-44EA-96B8-652DA735723C}">
            <x14:iconSet custom="1">
              <x14:cfvo type="percent">
                <xm:f>0</xm:f>
              </x14:cfvo>
              <x14:cfvo type="num">
                <xm:f>0</xm:f>
              </x14:cfvo>
              <x14:cfvo type="num" gte="0">
                <xm:f>0</xm:f>
              </x14:cfvo>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2" id="{477F612E-8C25-4288-9494-F67BFA33A222}">
            <x14:iconSet custom="1">
              <x14:cfvo type="percent">
                <xm:f>0</xm:f>
              </x14:cfvo>
              <x14:cfvo type="num">
                <xm:f>0.09</xm:f>
              </x14:cfvo>
              <x14:cfvo type="num">
                <xm:f>0.11</xm:f>
              </x14:cfvo>
              <x14:cfIcon iconSet="3TrafficLights1" iconId="1"/>
              <x14:cfIcon iconSet="3TrafficLights1" iconId="2"/>
              <x14:cfIcon iconSet="3TrafficLights1" iconId="0"/>
            </x14:iconSet>
          </x14:cfRule>
          <xm:sqref>H80</xm:sqref>
        </x14:conditionalFormatting>
        <x14:conditionalFormatting xmlns:xm="http://schemas.microsoft.com/office/excel/2006/main">
          <x14:cfRule type="iconSet" priority="17" id="{0004FA21-700E-4DE0-BD27-D259803DD125}">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H81</xm:sqref>
        </x14:conditionalFormatting>
        <x14:conditionalFormatting xmlns:xm="http://schemas.microsoft.com/office/excel/2006/main">
          <x14:cfRule type="iconSet" priority="18" id="{9524D101-B06A-4552-9E39-E6EF8B457673}">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6" id="{2F154DD1-3305-4CB2-AA3A-D981017A72E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H83</xm:sqref>
        </x14:conditionalFormatting>
        <x14:conditionalFormatting xmlns:xm="http://schemas.microsoft.com/office/excel/2006/main">
          <x14:cfRule type="iconSet" priority="15" id="{C616EDE2-C4FD-4134-9761-E1572F5C3CF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2" id="{73DFBF98-7F93-40EE-B4A8-6446333D6995}">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H91</xm:sqref>
        </x14:conditionalFormatting>
        <x14:conditionalFormatting xmlns:xm="http://schemas.microsoft.com/office/excel/2006/main">
          <x14:cfRule type="iconSet" priority="13" id="{EA4EA27E-A34B-41D5-A8AF-7BA375692C2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4" id="{76923C37-1C5B-494B-89B7-CDEF3ECF201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0" id="{5E01C390-AB67-4B92-BA7D-0FCEF9C489F8}">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E669-6279-4E7A-AA8F-FD949E0554B7}">
  <sheetPr>
    <pageSetUpPr fitToPage="1"/>
  </sheetPr>
  <dimension ref="C1:BB159"/>
  <sheetViews>
    <sheetView showGridLines="0" zoomScale="85" zoomScaleNormal="85" workbookViewId="0">
      <selection activeCell="C100" sqref="C100:L103"/>
    </sheetView>
  </sheetViews>
  <sheetFormatPr baseColWidth="10" defaultColWidth="9.15625" defaultRowHeight="13.8"/>
  <cols>
    <col min="1" max="1" width="1.68359375" style="25" customWidth="1"/>
    <col min="2" max="2" width="1" style="25" customWidth="1"/>
    <col min="3" max="3" width="64.83984375" style="25" customWidth="1"/>
    <col min="4" max="4" width="35.15625" style="25" customWidth="1"/>
    <col min="5" max="5" width="18.68359375" style="25" customWidth="1"/>
    <col min="6" max="6" width="17.41796875" style="25" customWidth="1"/>
    <col min="7" max="7" width="16.578125" style="25" bestFit="1" customWidth="1"/>
    <col min="8" max="8" width="15.578125" style="25" customWidth="1"/>
    <col min="9" max="9" width="15.15625" style="25" bestFit="1" customWidth="1"/>
    <col min="10" max="10" width="6.15625" style="25" customWidth="1"/>
    <col min="11" max="11" width="11.41796875" style="25" customWidth="1"/>
    <col min="12" max="12" width="30.83984375" style="25" customWidth="1"/>
    <col min="13" max="13" width="6.26171875" style="25" bestFit="1" customWidth="1"/>
    <col min="14" max="14" width="6.15625" style="25" bestFit="1" customWidth="1"/>
    <col min="15" max="15" width="27.41796875" style="25" customWidth="1"/>
    <col min="16" max="16" width="17.41796875" style="25" customWidth="1"/>
    <col min="17" max="17" width="13.83984375" style="25" customWidth="1"/>
    <col min="18" max="18" width="14.68359375" style="25" customWidth="1"/>
    <col min="19" max="20" width="9.15625" style="25" customWidth="1"/>
    <col min="21" max="21" width="3.15625" style="25" hidden="1" customWidth="1"/>
    <col min="22" max="22" width="25" style="25" hidden="1" customWidth="1"/>
    <col min="23" max="23" width="9.15625" style="25" hidden="1" customWidth="1"/>
    <col min="24" max="24" width="13" style="25" hidden="1" customWidth="1"/>
    <col min="25" max="25" width="9.15625" style="25" hidden="1" customWidth="1"/>
    <col min="26" max="26" width="14.41796875" style="25" hidden="1" customWidth="1"/>
    <col min="27" max="27" width="22.83984375" style="25" hidden="1" customWidth="1"/>
    <col min="28" max="30" width="9.15625" style="25" hidden="1" customWidth="1"/>
    <col min="31" max="31" width="29.26171875" style="25" hidden="1" customWidth="1"/>
    <col min="32" max="32" width="31.83984375" style="25" hidden="1" customWidth="1"/>
    <col min="33" max="33" width="32.26171875" style="25" hidden="1" customWidth="1"/>
    <col min="34" max="34" width="18.83984375" style="25" hidden="1" customWidth="1"/>
    <col min="35" max="35" width="37.68359375" style="25" hidden="1" customWidth="1"/>
    <col min="36" max="36" width="9.15625" style="25" hidden="1" customWidth="1"/>
    <col min="37" max="37" width="34.68359375" style="25" hidden="1" customWidth="1"/>
    <col min="38" max="38" width="25.15625" style="25" hidden="1" customWidth="1"/>
    <col min="39" max="39" width="23.83984375" style="25" hidden="1" customWidth="1"/>
    <col min="40" max="40" width="35" style="25" hidden="1" customWidth="1"/>
    <col min="41" max="41" width="20.41796875" style="25" hidden="1" customWidth="1"/>
    <col min="42" max="42" width="9.15625" style="25" hidden="1" customWidth="1"/>
    <col min="43" max="43" width="20.83984375" style="25" hidden="1" customWidth="1"/>
    <col min="44" max="44" width="9.15625" style="25" hidden="1" customWidth="1"/>
    <col min="45" max="45" width="14.15625" style="25" hidden="1" customWidth="1"/>
    <col min="46" max="46" width="19.578125" style="25" hidden="1" customWidth="1"/>
    <col min="47" max="48" width="9.15625" style="25" hidden="1" customWidth="1"/>
    <col min="49" max="49" width="12.578125" style="25" hidden="1" customWidth="1"/>
    <col min="50" max="50" width="12.15625" style="25" hidden="1" customWidth="1"/>
    <col min="51" max="51" width="19.578125" style="25" hidden="1" customWidth="1"/>
    <col min="52" max="52" width="12" style="25" hidden="1" customWidth="1"/>
    <col min="53" max="53" width="9.15625" style="25" hidden="1" customWidth="1"/>
    <col min="54" max="54" width="13" style="25" hidden="1" customWidth="1"/>
    <col min="55" max="16384" width="9.15625" style="25"/>
  </cols>
  <sheetData>
    <row r="1" spans="3:54">
      <c r="V1" s="309" t="s">
        <v>140</v>
      </c>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row>
    <row r="2" spans="3:54" ht="27">
      <c r="C2" s="23" t="str">
        <f>"Alternativ 4: "&amp;D4</f>
        <v xml:space="preserve">Alternativ 4: </v>
      </c>
      <c r="D2" s="24"/>
    </row>
    <row r="3" spans="3:54" ht="15.75" customHeight="1"/>
    <row r="4" spans="3:54" ht="15.75" customHeight="1">
      <c r="C4" s="107" t="s">
        <v>141</v>
      </c>
      <c r="D4" s="108"/>
      <c r="E4" s="109"/>
      <c r="F4" s="109"/>
      <c r="G4" s="109"/>
      <c r="H4" s="109"/>
      <c r="I4" s="109"/>
      <c r="J4" s="109"/>
      <c r="K4" s="109"/>
      <c r="L4" s="109"/>
      <c r="M4" s="109"/>
      <c r="N4" s="109"/>
      <c r="O4" s="109"/>
      <c r="AB4" s="20" t="s">
        <v>54</v>
      </c>
      <c r="AC4" s="20" t="s">
        <v>55</v>
      </c>
    </row>
    <row r="5" spans="3:54" ht="15.75" customHeight="1">
      <c r="C5" s="109"/>
      <c r="D5" s="109"/>
      <c r="E5" s="109"/>
      <c r="F5" s="109"/>
      <c r="G5" s="109"/>
      <c r="H5" s="109"/>
      <c r="I5" s="109"/>
      <c r="J5" s="109"/>
      <c r="K5" s="109"/>
      <c r="L5" s="109"/>
      <c r="M5" s="109"/>
      <c r="N5" s="109"/>
      <c r="O5" s="109"/>
      <c r="AA5" s="21" t="s">
        <v>56</v>
      </c>
      <c r="AB5" s="26">
        <f>SUM(E19:E22)</f>
        <v>0</v>
      </c>
      <c r="AC5" s="26">
        <f>SUM(F19:F22)</f>
        <v>0</v>
      </c>
    </row>
    <row r="6" spans="3:54" ht="15.75" customHeight="1">
      <c r="C6" s="109"/>
      <c r="D6" s="109"/>
      <c r="E6" s="109"/>
      <c r="F6" s="109"/>
      <c r="G6" s="109"/>
      <c r="H6" s="109"/>
      <c r="I6" s="109"/>
      <c r="J6" s="109"/>
      <c r="K6" s="109"/>
      <c r="L6" s="109"/>
      <c r="M6" s="109"/>
      <c r="N6" s="109"/>
      <c r="O6" s="109"/>
      <c r="AA6" s="21" t="s">
        <v>57</v>
      </c>
      <c r="AB6" s="26">
        <f>SUM(G19:G22)</f>
        <v>0</v>
      </c>
      <c r="AC6" s="26">
        <f>SUM(H19:H22)</f>
        <v>0</v>
      </c>
    </row>
    <row r="7" spans="3:54" ht="15.75" customHeight="1">
      <c r="C7" s="342" t="s">
        <v>142</v>
      </c>
      <c r="D7" s="342"/>
      <c r="E7" s="342"/>
      <c r="F7" s="342"/>
      <c r="G7" s="342"/>
      <c r="H7" s="342"/>
      <c r="I7" s="342"/>
      <c r="J7" s="342"/>
      <c r="K7" s="342"/>
      <c r="L7" s="342"/>
      <c r="M7" s="342"/>
      <c r="N7" s="342"/>
      <c r="O7" s="342"/>
      <c r="AA7" s="21" t="s">
        <v>58</v>
      </c>
      <c r="AB7" s="26">
        <f>SUM(I19:I22)</f>
        <v>0</v>
      </c>
      <c r="AC7" s="26">
        <f>SUM(J19:J22)</f>
        <v>0</v>
      </c>
    </row>
    <row r="8" spans="3:54" ht="30" customHeight="1">
      <c r="C8" s="110" t="s">
        <v>143</v>
      </c>
      <c r="D8" s="352"/>
      <c r="E8" s="353"/>
      <c r="F8" s="353"/>
      <c r="G8" s="353"/>
      <c r="H8" s="353"/>
      <c r="I8" s="353"/>
      <c r="J8" s="353"/>
      <c r="K8" s="353"/>
      <c r="L8" s="353"/>
      <c r="M8" s="353"/>
      <c r="N8" s="353"/>
      <c r="O8" s="354"/>
      <c r="Z8" s="25" t="s">
        <v>144</v>
      </c>
      <c r="AA8" s="21" t="s">
        <v>59</v>
      </c>
      <c r="AB8" s="26">
        <f>SUMIF($D$23:$D$24,$Z$8,E23:E24)+SUMIF($D$23:$D$24,$Z$8,G23:G24)</f>
        <v>0</v>
      </c>
      <c r="AC8" s="26">
        <f>SUMIF($D$23:$D$24,$Z$8,F23:F24)+SUMIF($D$23:$D$24,$Z$8,H23:H24)</f>
        <v>0</v>
      </c>
    </row>
    <row r="9" spans="3:54" ht="30" customHeight="1">
      <c r="C9" s="111" t="s">
        <v>145</v>
      </c>
      <c r="D9" s="352"/>
      <c r="E9" s="353"/>
      <c r="F9" s="353"/>
      <c r="G9" s="353"/>
      <c r="H9" s="353"/>
      <c r="I9" s="353"/>
      <c r="J9" s="353"/>
      <c r="K9" s="353"/>
      <c r="L9" s="353"/>
      <c r="M9" s="353"/>
      <c r="N9" s="353"/>
      <c r="O9" s="354"/>
      <c r="Z9" s="25" t="s">
        <v>146</v>
      </c>
      <c r="AA9" s="21" t="s">
        <v>60</v>
      </c>
      <c r="AB9" s="26">
        <f>SUMIF($D$23:$D$24,$Z$9,E23:E24)+SUMIF($D$23:$D$24,$Z$9,G23:G24)</f>
        <v>0</v>
      </c>
      <c r="AC9" s="26">
        <f>SUMIF($D$23:$D$24,$Z$9,F23:F24)+SUMIF($D$23:$D$24,$Z$9,H23:H24)</f>
        <v>0</v>
      </c>
    </row>
    <row r="10" spans="3:54" ht="30" customHeight="1">
      <c r="C10" s="110" t="s">
        <v>147</v>
      </c>
      <c r="D10" s="352"/>
      <c r="E10" s="353"/>
      <c r="F10" s="353"/>
      <c r="G10" s="353"/>
      <c r="H10" s="353"/>
      <c r="I10" s="353"/>
      <c r="J10" s="353"/>
      <c r="K10" s="353"/>
      <c r="L10" s="353"/>
      <c r="M10" s="353"/>
      <c r="N10" s="353"/>
      <c r="O10" s="354"/>
    </row>
    <row r="11" spans="3:54" ht="30" customHeight="1">
      <c r="C11" s="110" t="s">
        <v>148</v>
      </c>
      <c r="D11" s="352"/>
      <c r="E11" s="353"/>
      <c r="F11" s="353"/>
      <c r="G11" s="353"/>
      <c r="H11" s="353"/>
      <c r="I11" s="353"/>
      <c r="J11" s="353"/>
      <c r="K11" s="353"/>
      <c r="L11" s="353"/>
      <c r="M11" s="353"/>
      <c r="N11" s="353"/>
      <c r="O11" s="354"/>
    </row>
    <row r="12" spans="3:54" ht="15.75" customHeight="1">
      <c r="C12" s="109"/>
      <c r="D12" s="109"/>
      <c r="E12" s="109"/>
      <c r="F12" s="109"/>
      <c r="G12" s="109"/>
      <c r="H12" s="109"/>
      <c r="I12" s="109"/>
      <c r="J12" s="109"/>
      <c r="K12" s="109"/>
      <c r="L12" s="109"/>
      <c r="M12" s="109"/>
      <c r="N12" s="109"/>
      <c r="O12" s="109"/>
    </row>
    <row r="13" spans="3:54" ht="15.75" customHeight="1">
      <c r="C13" s="109"/>
      <c r="D13" s="109"/>
      <c r="E13" s="109"/>
      <c r="F13" s="109"/>
      <c r="G13" s="109"/>
      <c r="H13" s="109"/>
      <c r="I13" s="109"/>
      <c r="J13" s="109"/>
      <c r="K13" s="109"/>
      <c r="L13" s="109"/>
      <c r="M13" s="109"/>
      <c r="N13" s="109"/>
      <c r="O13" s="109"/>
    </row>
    <row r="14" spans="3:54" ht="15.75" customHeight="1">
      <c r="C14" s="173" t="s">
        <v>149</v>
      </c>
      <c r="D14" s="174"/>
      <c r="E14" s="109"/>
      <c r="F14" s="109"/>
      <c r="G14" s="109"/>
      <c r="H14" s="109"/>
      <c r="I14" s="109"/>
      <c r="J14" s="109"/>
      <c r="K14" s="109"/>
      <c r="L14" s="109"/>
      <c r="M14" s="109"/>
      <c r="N14" s="109"/>
      <c r="O14" s="109"/>
    </row>
    <row r="15" spans="3:54" ht="15.75" customHeight="1" thickBot="1">
      <c r="C15" s="175" t="s">
        <v>150</v>
      </c>
      <c r="D15" s="176"/>
      <c r="E15" s="109"/>
      <c r="F15" s="109"/>
      <c r="G15" s="109"/>
      <c r="H15" s="109"/>
      <c r="I15" s="109"/>
      <c r="J15" s="109"/>
      <c r="K15" s="109"/>
      <c r="L15" s="109"/>
      <c r="M15" s="109"/>
      <c r="N15" s="109"/>
      <c r="O15" s="109"/>
    </row>
    <row r="16" spans="3:54" ht="14.1" thickBot="1">
      <c r="C16" s="109"/>
      <c r="D16" s="109"/>
      <c r="E16" s="109"/>
      <c r="F16" s="109"/>
      <c r="G16" s="109"/>
      <c r="H16" s="109"/>
      <c r="I16" s="109"/>
      <c r="J16" s="109"/>
      <c r="K16" s="109"/>
      <c r="L16" s="109"/>
      <c r="M16" s="109"/>
      <c r="N16" s="109"/>
      <c r="O16" s="109"/>
      <c r="AE16" s="27" t="s">
        <v>151</v>
      </c>
      <c r="AF16" s="28"/>
      <c r="AG16" s="28"/>
      <c r="AH16" s="28"/>
      <c r="AI16" s="28"/>
      <c r="AJ16" s="28"/>
      <c r="AK16" s="29"/>
      <c r="AN16" s="330" t="s">
        <v>152</v>
      </c>
      <c r="AO16" s="331"/>
      <c r="AP16" s="331"/>
      <c r="AQ16" s="331"/>
      <c r="AR16" s="331"/>
      <c r="AS16" s="331"/>
      <c r="AT16" s="331"/>
      <c r="AU16" s="331"/>
      <c r="AV16" s="331"/>
      <c r="AW16" s="331"/>
      <c r="AX16" s="331"/>
      <c r="AY16" s="331"/>
      <c r="AZ16" s="331"/>
      <c r="BA16" s="331"/>
      <c r="BB16" s="332"/>
    </row>
    <row r="17" spans="3:54" ht="30" customHeight="1">
      <c r="C17" s="112" t="s">
        <v>153</v>
      </c>
      <c r="D17" s="113" t="s">
        <v>154</v>
      </c>
      <c r="E17" s="347" t="s">
        <v>155</v>
      </c>
      <c r="F17" s="348"/>
      <c r="G17" s="349" t="s">
        <v>156</v>
      </c>
      <c r="H17" s="350"/>
      <c r="I17" s="351" t="s">
        <v>157</v>
      </c>
      <c r="J17" s="296"/>
      <c r="K17" s="343" t="s">
        <v>158</v>
      </c>
      <c r="L17" s="290" t="s">
        <v>159</v>
      </c>
      <c r="M17" s="290"/>
      <c r="N17" s="290"/>
      <c r="O17" s="114" t="s">
        <v>90</v>
      </c>
      <c r="V17" s="27" t="s">
        <v>159</v>
      </c>
      <c r="W17" s="28"/>
      <c r="X17" s="29"/>
      <c r="AG17" s="338" t="s">
        <v>160</v>
      </c>
      <c r="AH17" s="338"/>
      <c r="AI17" s="338"/>
      <c r="AJ17" s="338"/>
      <c r="AK17" s="338"/>
      <c r="AN17" s="339" t="s">
        <v>161</v>
      </c>
      <c r="AO17" s="340"/>
      <c r="AP17" s="340"/>
      <c r="AQ17" s="340"/>
      <c r="AR17" s="341"/>
      <c r="AS17" s="324" t="s">
        <v>162</v>
      </c>
      <c r="AT17" s="325"/>
      <c r="AU17" s="325"/>
      <c r="AV17" s="325"/>
      <c r="AW17" s="326"/>
      <c r="AX17" s="327" t="s">
        <v>157</v>
      </c>
      <c r="AY17" s="328"/>
      <c r="AZ17" s="328"/>
      <c r="BA17" s="328"/>
      <c r="BB17" s="329"/>
    </row>
    <row r="18" spans="3:54" ht="15" customHeight="1" thickBot="1">
      <c r="C18" s="115"/>
      <c r="D18" s="116"/>
      <c r="E18" s="117" t="s">
        <v>54</v>
      </c>
      <c r="F18" s="118" t="s">
        <v>55</v>
      </c>
      <c r="G18" s="118" t="s">
        <v>54</v>
      </c>
      <c r="H18" s="118" t="s">
        <v>55</v>
      </c>
      <c r="I18" s="118" t="s">
        <v>54</v>
      </c>
      <c r="J18" s="118" t="s">
        <v>55</v>
      </c>
      <c r="K18" s="344"/>
      <c r="L18" s="116" t="s">
        <v>4</v>
      </c>
      <c r="M18" s="116" t="s">
        <v>163</v>
      </c>
      <c r="N18" s="119" t="s">
        <v>164</v>
      </c>
      <c r="O18" s="120"/>
      <c r="V18" s="26" t="s">
        <v>165</v>
      </c>
      <c r="W18" s="26"/>
      <c r="X18" s="26" t="s">
        <v>166</v>
      </c>
      <c r="AG18" s="31" t="s">
        <v>167</v>
      </c>
      <c r="AH18" s="31" t="s">
        <v>168</v>
      </c>
      <c r="AI18" s="31" t="s">
        <v>169</v>
      </c>
      <c r="AJ18" s="31" t="s">
        <v>170</v>
      </c>
      <c r="AK18" s="31" t="s">
        <v>171</v>
      </c>
      <c r="AN18" s="32" t="s">
        <v>167</v>
      </c>
      <c r="AO18" s="33" t="s">
        <v>168</v>
      </c>
      <c r="AP18" s="33" t="s">
        <v>169</v>
      </c>
      <c r="AQ18" s="33" t="s">
        <v>170</v>
      </c>
      <c r="AR18" s="34" t="s">
        <v>171</v>
      </c>
      <c r="AS18" s="32" t="s">
        <v>167</v>
      </c>
      <c r="AT18" s="33" t="s">
        <v>168</v>
      </c>
      <c r="AU18" s="33" t="s">
        <v>169</v>
      </c>
      <c r="AV18" s="33" t="s">
        <v>170</v>
      </c>
      <c r="AW18" s="34" t="s">
        <v>171</v>
      </c>
      <c r="AX18" s="35" t="s">
        <v>167</v>
      </c>
      <c r="AY18" s="33" t="s">
        <v>168</v>
      </c>
      <c r="AZ18" s="33" t="s">
        <v>169</v>
      </c>
      <c r="BA18" s="33" t="s">
        <v>170</v>
      </c>
      <c r="BB18" s="34" t="s">
        <v>171</v>
      </c>
    </row>
    <row r="19" spans="3:54">
      <c r="C19" s="121" t="s">
        <v>172</v>
      </c>
      <c r="D19" s="122" t="s">
        <v>173</v>
      </c>
      <c r="E19" s="123"/>
      <c r="F19" s="123"/>
      <c r="G19" s="123"/>
      <c r="H19" s="123"/>
      <c r="I19" s="123"/>
      <c r="J19" s="123"/>
      <c r="K19" s="123"/>
      <c r="L19" s="107" t="str">
        <f t="shared" ref="L19:L24" si="0">IF(VLOOKUP(D19,$AK$133:$AO$151,AN$131,FALSE)=0,"",VLOOKUP(D19,$AK$133:$AO$151,AN$131,FALSE))</f>
        <v/>
      </c>
      <c r="M19" s="123"/>
      <c r="N19" s="124" t="str">
        <f t="shared" ref="N19:N24" si="1">IF(VLOOKUP(D19,$AK$133:$AO$151,AO$131,FALSE)=0,"",VLOOKUP(D19,$AK$133:$AO$151,AO$131,FALSE))</f>
        <v/>
      </c>
      <c r="O19" s="125"/>
      <c r="V19" s="26">
        <f t="shared" ref="V19:V27" si="2">IF(OR(D19=$AK$143,D19=$AK$144),1,0)</f>
        <v>0</v>
      </c>
      <c r="W19" s="26">
        <f t="shared" ref="W19:W27" si="3">IF(D19=$AK$133,0,1)</f>
        <v>0</v>
      </c>
      <c r="X19" s="26">
        <f t="shared" ref="X19:X27" si="4">IF(AND(N19&lt;&gt;"",N19&lt;&gt;$AS$137),1,0)</f>
        <v>0</v>
      </c>
      <c r="AE19" s="26" t="str">
        <f t="shared" ref="AE19:AE24" si="5">VLOOKUP(D19,$AK$133:$AX$151,$AW$131,FALSE)</f>
        <v>tom</v>
      </c>
      <c r="AF19" s="26" t="str">
        <f t="shared" ref="AF19:AF24" si="6">IF(OR(D19=$AK$143,D19=$AK$144),AE19&amp;", "&amp;K19,AE19)</f>
        <v>tom</v>
      </c>
      <c r="AG19" s="38">
        <f>VLOOKUP($AF19,Utslippsdata!$B$20:$H$46,Utslippsdata!C$16,FALSE)</f>
        <v>0</v>
      </c>
      <c r="AH19" s="38">
        <f>VLOOKUP($AF19,Utslippsdata!$B$20:$H$46,Utslippsdata!D$16,FALSE)</f>
        <v>0</v>
      </c>
      <c r="AI19" s="38">
        <f>VLOOKUP($AF19,Utslippsdata!$B$20:$H$46,Utslippsdata!E$16,FALSE)</f>
        <v>0</v>
      </c>
      <c r="AJ19" s="38">
        <f>VLOOKUP($AF19,Utslippsdata!$B$20:$H$46,Utslippsdata!F$16,FALSE)</f>
        <v>0</v>
      </c>
      <c r="AK19" s="38">
        <f>VLOOKUP($AF19,Utslippsdata!$B$20:$H$46,Utslippsdata!G$16,FALSE)</f>
        <v>0</v>
      </c>
      <c r="AM19" s="39" t="str">
        <f t="shared" ref="AM19:AM24" si="7">AE19</f>
        <v>tom</v>
      </c>
      <c r="AN19" s="40">
        <f t="shared" ref="AN19:AR24" si="8">$F19*AG19</f>
        <v>0</v>
      </c>
      <c r="AO19" s="40">
        <f t="shared" si="8"/>
        <v>0</v>
      </c>
      <c r="AP19" s="40">
        <f t="shared" si="8"/>
        <v>0</v>
      </c>
      <c r="AQ19" s="40">
        <f t="shared" si="8"/>
        <v>0</v>
      </c>
      <c r="AR19" s="41">
        <f t="shared" si="8"/>
        <v>0</v>
      </c>
      <c r="AS19" s="42">
        <f t="shared" ref="AS19:AW24" si="9">$H19*AG19</f>
        <v>0</v>
      </c>
      <c r="AT19" s="43">
        <f t="shared" si="9"/>
        <v>0</v>
      </c>
      <c r="AU19" s="43">
        <f t="shared" si="9"/>
        <v>0</v>
      </c>
      <c r="AV19" s="43">
        <f t="shared" si="9"/>
        <v>0</v>
      </c>
      <c r="AW19" s="44">
        <f t="shared" si="9"/>
        <v>0</v>
      </c>
      <c r="AX19" s="40">
        <f t="shared" ref="AX19:BB24" si="10">$J19*AG19</f>
        <v>0</v>
      </c>
      <c r="AY19" s="40">
        <f t="shared" si="10"/>
        <v>0</v>
      </c>
      <c r="AZ19" s="40">
        <f t="shared" si="10"/>
        <v>0</v>
      </c>
      <c r="BA19" s="40">
        <f t="shared" si="10"/>
        <v>0</v>
      </c>
      <c r="BB19" s="40">
        <f t="shared" si="10"/>
        <v>0</v>
      </c>
    </row>
    <row r="20" spans="3:54">
      <c r="C20" s="107" t="s">
        <v>174</v>
      </c>
      <c r="D20" s="108" t="s">
        <v>173</v>
      </c>
      <c r="E20" s="123"/>
      <c r="F20" s="123"/>
      <c r="G20" s="123"/>
      <c r="H20" s="123"/>
      <c r="I20" s="123"/>
      <c r="J20" s="123"/>
      <c r="K20" s="123"/>
      <c r="L20" s="107" t="str">
        <f t="shared" si="0"/>
        <v/>
      </c>
      <c r="M20" s="123"/>
      <c r="N20" s="124" t="str">
        <f t="shared" si="1"/>
        <v/>
      </c>
      <c r="O20" s="125"/>
      <c r="V20" s="26">
        <f t="shared" si="2"/>
        <v>0</v>
      </c>
      <c r="W20" s="26">
        <f t="shared" si="3"/>
        <v>0</v>
      </c>
      <c r="X20" s="26">
        <f t="shared" si="4"/>
        <v>0</v>
      </c>
      <c r="AE20" s="26" t="str">
        <f t="shared" si="5"/>
        <v>tom</v>
      </c>
      <c r="AF20" s="26" t="str">
        <f t="shared" si="6"/>
        <v>tom</v>
      </c>
      <c r="AG20" s="38">
        <f>VLOOKUP($AF20,Utslippsdata!$B$20:$H$46,Utslippsdata!C$16,FALSE)</f>
        <v>0</v>
      </c>
      <c r="AH20" s="38">
        <f>VLOOKUP($AF20,Utslippsdata!$B$20:$H$46,Utslippsdata!D$16,FALSE)</f>
        <v>0</v>
      </c>
      <c r="AI20" s="38">
        <f>VLOOKUP($AF20,Utslippsdata!$B$20:$H$46,Utslippsdata!E$16,FALSE)</f>
        <v>0</v>
      </c>
      <c r="AJ20" s="38">
        <f>VLOOKUP($AF20,Utslippsdata!$B$20:$H$46,Utslippsdata!F$16,FALSE)</f>
        <v>0</v>
      </c>
      <c r="AK20" s="38">
        <f>VLOOKUP($AF20,Utslippsdata!$B$20:$H$46,Utslippsdata!G$16,FALSE)</f>
        <v>0</v>
      </c>
      <c r="AM20" s="45" t="str">
        <f t="shared" si="7"/>
        <v>tom</v>
      </c>
      <c r="AN20" s="40">
        <f t="shared" si="8"/>
        <v>0</v>
      </c>
      <c r="AO20" s="40">
        <f t="shared" si="8"/>
        <v>0</v>
      </c>
      <c r="AP20" s="40">
        <f t="shared" si="8"/>
        <v>0</v>
      </c>
      <c r="AQ20" s="40">
        <f t="shared" si="8"/>
        <v>0</v>
      </c>
      <c r="AR20" s="41">
        <f t="shared" si="8"/>
        <v>0</v>
      </c>
      <c r="AS20" s="46">
        <f t="shared" si="9"/>
        <v>0</v>
      </c>
      <c r="AT20" s="40">
        <f t="shared" si="9"/>
        <v>0</v>
      </c>
      <c r="AU20" s="40">
        <f t="shared" si="9"/>
        <v>0</v>
      </c>
      <c r="AV20" s="40">
        <f t="shared" si="9"/>
        <v>0</v>
      </c>
      <c r="AW20" s="47">
        <f t="shared" si="9"/>
        <v>0</v>
      </c>
      <c r="AX20" s="40">
        <f t="shared" si="10"/>
        <v>0</v>
      </c>
      <c r="AY20" s="40">
        <f t="shared" si="10"/>
        <v>0</v>
      </c>
      <c r="AZ20" s="40">
        <f t="shared" si="10"/>
        <v>0</v>
      </c>
      <c r="BA20" s="40">
        <f t="shared" si="10"/>
        <v>0</v>
      </c>
      <c r="BB20" s="40">
        <f t="shared" si="10"/>
        <v>0</v>
      </c>
    </row>
    <row r="21" spans="3:54">
      <c r="C21" s="107" t="s">
        <v>175</v>
      </c>
      <c r="D21" s="108" t="s">
        <v>173</v>
      </c>
      <c r="E21" s="123"/>
      <c r="F21" s="123"/>
      <c r="G21" s="123"/>
      <c r="H21" s="123"/>
      <c r="I21" s="123"/>
      <c r="J21" s="123"/>
      <c r="K21" s="123"/>
      <c r="L21" s="107" t="str">
        <f t="shared" si="0"/>
        <v/>
      </c>
      <c r="M21" s="123"/>
      <c r="N21" s="124" t="str">
        <f t="shared" si="1"/>
        <v/>
      </c>
      <c r="O21" s="125"/>
      <c r="V21" s="26">
        <f t="shared" si="2"/>
        <v>0</v>
      </c>
      <c r="W21" s="26">
        <f t="shared" si="3"/>
        <v>0</v>
      </c>
      <c r="X21" s="26">
        <f t="shared" si="4"/>
        <v>0</v>
      </c>
      <c r="AE21" s="26" t="str">
        <f t="shared" si="5"/>
        <v>tom</v>
      </c>
      <c r="AF21" s="26" t="str">
        <f t="shared" si="6"/>
        <v>tom</v>
      </c>
      <c r="AG21" s="38">
        <f>VLOOKUP($AF21,Utslippsdata!$B$20:$H$46,Utslippsdata!C$16,FALSE)</f>
        <v>0</v>
      </c>
      <c r="AH21" s="38">
        <f>VLOOKUP($AF21,Utslippsdata!$B$20:$H$46,Utslippsdata!D$16,FALSE)</f>
        <v>0</v>
      </c>
      <c r="AI21" s="38">
        <f>VLOOKUP($AF21,Utslippsdata!$B$20:$H$46,Utslippsdata!E$16,FALSE)</f>
        <v>0</v>
      </c>
      <c r="AJ21" s="38">
        <f>VLOOKUP($AF21,Utslippsdata!$B$20:$H$46,Utslippsdata!F$16,FALSE)</f>
        <v>0</v>
      </c>
      <c r="AK21" s="38">
        <f>VLOOKUP($AF21,Utslippsdata!$B$20:$H$46,Utslippsdata!G$16,FALSE)</f>
        <v>0</v>
      </c>
      <c r="AM21" s="45" t="str">
        <f t="shared" si="7"/>
        <v>tom</v>
      </c>
      <c r="AN21" s="40">
        <f t="shared" si="8"/>
        <v>0</v>
      </c>
      <c r="AO21" s="40">
        <f t="shared" si="8"/>
        <v>0</v>
      </c>
      <c r="AP21" s="40">
        <f t="shared" si="8"/>
        <v>0</v>
      </c>
      <c r="AQ21" s="40">
        <f t="shared" si="8"/>
        <v>0</v>
      </c>
      <c r="AR21" s="41">
        <f t="shared" si="8"/>
        <v>0</v>
      </c>
      <c r="AS21" s="46">
        <f t="shared" si="9"/>
        <v>0</v>
      </c>
      <c r="AT21" s="40">
        <f t="shared" si="9"/>
        <v>0</v>
      </c>
      <c r="AU21" s="40">
        <f t="shared" si="9"/>
        <v>0</v>
      </c>
      <c r="AV21" s="40">
        <f t="shared" si="9"/>
        <v>0</v>
      </c>
      <c r="AW21" s="47">
        <f t="shared" si="9"/>
        <v>0</v>
      </c>
      <c r="AX21" s="40">
        <f t="shared" si="10"/>
        <v>0</v>
      </c>
      <c r="AY21" s="40">
        <f t="shared" si="10"/>
        <v>0</v>
      </c>
      <c r="AZ21" s="40">
        <f t="shared" si="10"/>
        <v>0</v>
      </c>
      <c r="BA21" s="40">
        <f t="shared" si="10"/>
        <v>0</v>
      </c>
      <c r="BB21" s="40">
        <f t="shared" si="10"/>
        <v>0</v>
      </c>
    </row>
    <row r="22" spans="3:54">
      <c r="C22" s="107" t="s">
        <v>176</v>
      </c>
      <c r="D22" s="108" t="s">
        <v>173</v>
      </c>
      <c r="E22" s="123"/>
      <c r="F22" s="123"/>
      <c r="G22" s="123"/>
      <c r="H22" s="123"/>
      <c r="I22" s="123"/>
      <c r="J22" s="123"/>
      <c r="K22" s="123"/>
      <c r="L22" s="107" t="str">
        <f t="shared" si="0"/>
        <v/>
      </c>
      <c r="M22" s="123"/>
      <c r="N22" s="124" t="str">
        <f t="shared" si="1"/>
        <v/>
      </c>
      <c r="O22" s="125"/>
      <c r="V22" s="26">
        <f t="shared" si="2"/>
        <v>0</v>
      </c>
      <c r="W22" s="26">
        <f t="shared" si="3"/>
        <v>0</v>
      </c>
      <c r="X22" s="26">
        <f t="shared" si="4"/>
        <v>0</v>
      </c>
      <c r="AE22" s="26" t="str">
        <f t="shared" si="5"/>
        <v>tom</v>
      </c>
      <c r="AF22" s="26" t="str">
        <f t="shared" si="6"/>
        <v>tom</v>
      </c>
      <c r="AG22" s="38">
        <f>VLOOKUP($AF22,Utslippsdata!$B$20:$H$46,Utslippsdata!C$16,FALSE)</f>
        <v>0</v>
      </c>
      <c r="AH22" s="38">
        <f>VLOOKUP($AF22,Utslippsdata!$B$20:$H$46,Utslippsdata!D$16,FALSE)</f>
        <v>0</v>
      </c>
      <c r="AI22" s="38">
        <f>VLOOKUP($AF22,Utslippsdata!$B$20:$H$46,Utslippsdata!E$16,FALSE)</f>
        <v>0</v>
      </c>
      <c r="AJ22" s="38">
        <f>VLOOKUP($AF22,Utslippsdata!$B$20:$H$46,Utslippsdata!F$16,FALSE)</f>
        <v>0</v>
      </c>
      <c r="AK22" s="38">
        <f>VLOOKUP($AF22,Utslippsdata!$B$20:$H$46,Utslippsdata!G$16,FALSE)</f>
        <v>0</v>
      </c>
      <c r="AM22" s="45" t="str">
        <f t="shared" si="7"/>
        <v>tom</v>
      </c>
      <c r="AN22" s="40">
        <f t="shared" si="8"/>
        <v>0</v>
      </c>
      <c r="AO22" s="40">
        <f t="shared" si="8"/>
        <v>0</v>
      </c>
      <c r="AP22" s="40">
        <f t="shared" si="8"/>
        <v>0</v>
      </c>
      <c r="AQ22" s="40">
        <f t="shared" si="8"/>
        <v>0</v>
      </c>
      <c r="AR22" s="41">
        <f t="shared" si="8"/>
        <v>0</v>
      </c>
      <c r="AS22" s="46">
        <f t="shared" si="9"/>
        <v>0</v>
      </c>
      <c r="AT22" s="40">
        <f t="shared" si="9"/>
        <v>0</v>
      </c>
      <c r="AU22" s="40">
        <f t="shared" si="9"/>
        <v>0</v>
      </c>
      <c r="AV22" s="40">
        <f t="shared" si="9"/>
        <v>0</v>
      </c>
      <c r="AW22" s="47">
        <f t="shared" si="9"/>
        <v>0</v>
      </c>
      <c r="AX22" s="40">
        <f t="shared" si="10"/>
        <v>0</v>
      </c>
      <c r="AY22" s="40">
        <f t="shared" si="10"/>
        <v>0</v>
      </c>
      <c r="AZ22" s="40">
        <f t="shared" si="10"/>
        <v>0</v>
      </c>
      <c r="BA22" s="40">
        <f t="shared" si="10"/>
        <v>0</v>
      </c>
      <c r="BB22" s="40">
        <f t="shared" si="10"/>
        <v>0</v>
      </c>
    </row>
    <row r="23" spans="3:54">
      <c r="C23" s="107" t="s">
        <v>177</v>
      </c>
      <c r="D23" s="108" t="s">
        <v>173</v>
      </c>
      <c r="E23" s="123"/>
      <c r="F23" s="123"/>
      <c r="G23" s="123"/>
      <c r="H23" s="123"/>
      <c r="I23" s="123"/>
      <c r="J23" s="123"/>
      <c r="K23" s="123"/>
      <c r="L23" s="107" t="str">
        <f t="shared" si="0"/>
        <v/>
      </c>
      <c r="M23" s="123"/>
      <c r="N23" s="124" t="str">
        <f t="shared" si="1"/>
        <v/>
      </c>
      <c r="O23" s="125"/>
      <c r="V23" s="26">
        <f t="shared" si="2"/>
        <v>0</v>
      </c>
      <c r="W23" s="26">
        <f t="shared" si="3"/>
        <v>0</v>
      </c>
      <c r="X23" s="26">
        <f t="shared" si="4"/>
        <v>0</v>
      </c>
      <c r="AE23" s="26" t="str">
        <f t="shared" si="5"/>
        <v>tom</v>
      </c>
      <c r="AF23" s="26" t="str">
        <f t="shared" si="6"/>
        <v>tom</v>
      </c>
      <c r="AG23" s="38">
        <f>VLOOKUP($AF23,Utslippsdata!$B$20:$H$46,Utslippsdata!C$16,FALSE)</f>
        <v>0</v>
      </c>
      <c r="AH23" s="38">
        <f>VLOOKUP($AF23,Utslippsdata!$B$20:$H$46,Utslippsdata!D$16,FALSE)</f>
        <v>0</v>
      </c>
      <c r="AI23" s="38">
        <f>VLOOKUP($AF23,Utslippsdata!$B$20:$H$46,Utslippsdata!E$16,FALSE)</f>
        <v>0</v>
      </c>
      <c r="AJ23" s="38">
        <f>VLOOKUP($AF23,Utslippsdata!$B$20:$H$46,Utslippsdata!F$16,FALSE)</f>
        <v>0</v>
      </c>
      <c r="AK23" s="38">
        <f>VLOOKUP($AF23,Utslippsdata!$B$20:$H$46,Utslippsdata!G$16,FALSE)</f>
        <v>0</v>
      </c>
      <c r="AM23" s="45" t="str">
        <f t="shared" si="7"/>
        <v>tom</v>
      </c>
      <c r="AN23" s="40">
        <f t="shared" si="8"/>
        <v>0</v>
      </c>
      <c r="AO23" s="40">
        <f t="shared" si="8"/>
        <v>0</v>
      </c>
      <c r="AP23" s="40">
        <f t="shared" si="8"/>
        <v>0</v>
      </c>
      <c r="AQ23" s="40">
        <f t="shared" si="8"/>
        <v>0</v>
      </c>
      <c r="AR23" s="41">
        <f t="shared" si="8"/>
        <v>0</v>
      </c>
      <c r="AS23" s="46">
        <f t="shared" si="9"/>
        <v>0</v>
      </c>
      <c r="AT23" s="40">
        <f t="shared" si="9"/>
        <v>0</v>
      </c>
      <c r="AU23" s="40">
        <f t="shared" si="9"/>
        <v>0</v>
      </c>
      <c r="AV23" s="40">
        <f t="shared" si="9"/>
        <v>0</v>
      </c>
      <c r="AW23" s="47">
        <f t="shared" si="9"/>
        <v>0</v>
      </c>
      <c r="AX23" s="40">
        <f t="shared" si="10"/>
        <v>0</v>
      </c>
      <c r="AY23" s="40">
        <f t="shared" si="10"/>
        <v>0</v>
      </c>
      <c r="AZ23" s="40">
        <f t="shared" si="10"/>
        <v>0</v>
      </c>
      <c r="BA23" s="40">
        <f t="shared" si="10"/>
        <v>0</v>
      </c>
      <c r="BB23" s="40">
        <f t="shared" si="10"/>
        <v>0</v>
      </c>
    </row>
    <row r="24" spans="3:54">
      <c r="C24" s="107" t="s">
        <v>178</v>
      </c>
      <c r="D24" s="108" t="s">
        <v>173</v>
      </c>
      <c r="E24" s="123"/>
      <c r="F24" s="123"/>
      <c r="G24" s="123"/>
      <c r="H24" s="123"/>
      <c r="I24" s="123"/>
      <c r="J24" s="123"/>
      <c r="K24" s="123"/>
      <c r="L24" s="107" t="str">
        <f t="shared" si="0"/>
        <v/>
      </c>
      <c r="M24" s="123"/>
      <c r="N24" s="124" t="str">
        <f t="shared" si="1"/>
        <v/>
      </c>
      <c r="O24" s="125"/>
      <c r="V24" s="26">
        <f t="shared" si="2"/>
        <v>0</v>
      </c>
      <c r="W24" s="26">
        <f t="shared" si="3"/>
        <v>0</v>
      </c>
      <c r="X24" s="26">
        <f t="shared" si="4"/>
        <v>0</v>
      </c>
      <c r="AE24" s="26" t="str">
        <f t="shared" si="5"/>
        <v>tom</v>
      </c>
      <c r="AF24" s="26" t="str">
        <f t="shared" si="6"/>
        <v>tom</v>
      </c>
      <c r="AG24" s="38">
        <f>VLOOKUP($AF24,Utslippsdata!$B$20:$H$46,Utslippsdata!C$16,FALSE)</f>
        <v>0</v>
      </c>
      <c r="AH24" s="38">
        <f>VLOOKUP($AF24,Utslippsdata!$B$20:$H$46,Utslippsdata!D$16,FALSE)</f>
        <v>0</v>
      </c>
      <c r="AI24" s="38">
        <f>VLOOKUP($AF24,Utslippsdata!$B$20:$H$46,Utslippsdata!E$16,FALSE)</f>
        <v>0</v>
      </c>
      <c r="AJ24" s="38">
        <f>VLOOKUP($AF24,Utslippsdata!$B$20:$H$46,Utslippsdata!F$16,FALSE)</f>
        <v>0</v>
      </c>
      <c r="AK24" s="38">
        <f>VLOOKUP($AF24,Utslippsdata!$B$20:$H$46,Utslippsdata!G$16,FALSE)</f>
        <v>0</v>
      </c>
      <c r="AM24" s="45" t="str">
        <f t="shared" si="7"/>
        <v>tom</v>
      </c>
      <c r="AN24" s="40">
        <f t="shared" si="8"/>
        <v>0</v>
      </c>
      <c r="AO24" s="40">
        <f t="shared" si="8"/>
        <v>0</v>
      </c>
      <c r="AP24" s="40">
        <f t="shared" si="8"/>
        <v>0</v>
      </c>
      <c r="AQ24" s="40">
        <f t="shared" si="8"/>
        <v>0</v>
      </c>
      <c r="AR24" s="41">
        <f t="shared" si="8"/>
        <v>0</v>
      </c>
      <c r="AS24" s="46">
        <f t="shared" si="9"/>
        <v>0</v>
      </c>
      <c r="AT24" s="40">
        <f t="shared" si="9"/>
        <v>0</v>
      </c>
      <c r="AU24" s="40">
        <f t="shared" si="9"/>
        <v>0</v>
      </c>
      <c r="AV24" s="40">
        <f t="shared" si="9"/>
        <v>0</v>
      </c>
      <c r="AW24" s="47">
        <f t="shared" si="9"/>
        <v>0</v>
      </c>
      <c r="AX24" s="40">
        <f t="shared" si="10"/>
        <v>0</v>
      </c>
      <c r="AY24" s="40">
        <f t="shared" si="10"/>
        <v>0</v>
      </c>
      <c r="AZ24" s="40">
        <f t="shared" si="10"/>
        <v>0</v>
      </c>
      <c r="BA24" s="40">
        <f t="shared" si="10"/>
        <v>0</v>
      </c>
      <c r="BB24" s="40">
        <f t="shared" si="10"/>
        <v>0</v>
      </c>
    </row>
    <row r="25" spans="3:54" ht="14.4" thickBot="1">
      <c r="C25" s="107" t="s">
        <v>179</v>
      </c>
      <c r="D25" s="107" t="s">
        <v>180</v>
      </c>
      <c r="E25" s="335"/>
      <c r="F25" s="335"/>
      <c r="G25" s="336"/>
      <c r="H25" s="337"/>
      <c r="I25" s="345"/>
      <c r="J25" s="346"/>
      <c r="K25" s="126"/>
      <c r="L25" s="127"/>
      <c r="M25" s="127"/>
      <c r="N25" s="128"/>
      <c r="O25" s="125"/>
      <c r="P25" s="48"/>
      <c r="Q25" s="48"/>
      <c r="T25" s="48"/>
      <c r="U25" s="48"/>
      <c r="V25" s="26">
        <f t="shared" si="2"/>
        <v>0</v>
      </c>
      <c r="W25" s="26">
        <f t="shared" si="3"/>
        <v>1</v>
      </c>
      <c r="X25" s="26">
        <f t="shared" si="4"/>
        <v>0</v>
      </c>
      <c r="AM25" s="49" t="s">
        <v>179</v>
      </c>
      <c r="AN25" s="50">
        <f>$E$25*$E$26*(Utslippsdata!C54+Utslippsdata!C55)+$E$26*Utslippsdata!C56</f>
        <v>0</v>
      </c>
      <c r="AO25" s="51">
        <f>$E$25*$E$26*(Utslippsdata!D54+Utslippsdata!D55)+$E$26*Utslippsdata!D56</f>
        <v>0</v>
      </c>
      <c r="AP25" s="51">
        <f>$E$25*$E$26*(Utslippsdata!E54+Utslippsdata!E55)+$E$26*Utslippsdata!E56</f>
        <v>0</v>
      </c>
      <c r="AQ25" s="51">
        <f>$E$25*$E$26*(Utslippsdata!F54+Utslippsdata!F55)+$E$26*Utslippsdata!F56</f>
        <v>0</v>
      </c>
      <c r="AR25" s="52">
        <f>$E$25*$E$26*(Utslippsdata!G54+Utslippsdata!G55)+$E$26*Utslippsdata!G56</f>
        <v>0</v>
      </c>
      <c r="AS25" s="53">
        <f>$G$25*$G$26*(Utslippsdata!C54+Utslippsdata!C55)+$G$26*Utslippsdata!C56</f>
        <v>0</v>
      </c>
      <c r="AT25" s="51">
        <f>$G$25*$G$26*(Utslippsdata!D54+Utslippsdata!D55)+$G$26*Utslippsdata!D56</f>
        <v>0</v>
      </c>
      <c r="AU25" s="51">
        <f>$G$25*$G$26*(Utslippsdata!E54+Utslippsdata!E55)+$G$26*Utslippsdata!E56</f>
        <v>0</v>
      </c>
      <c r="AV25" s="51">
        <f>$G$25*$G$26*(Utslippsdata!F54+Utslippsdata!F55)+$G$26*Utslippsdata!F56</f>
        <v>0</v>
      </c>
      <c r="AW25" s="54">
        <f>$G$25*$G$26*(Utslippsdata!G54+Utslippsdata!G55)+$G$26*Utslippsdata!G56</f>
        <v>0</v>
      </c>
      <c r="AX25" s="55"/>
      <c r="AY25" s="56"/>
      <c r="AZ25" s="56"/>
      <c r="BA25" s="56"/>
      <c r="BB25" s="57"/>
    </row>
    <row r="26" spans="3:54" ht="14.1" thickBot="1">
      <c r="C26" s="107" t="s">
        <v>181</v>
      </c>
      <c r="D26" s="107" t="s">
        <v>182</v>
      </c>
      <c r="E26" s="335"/>
      <c r="F26" s="335"/>
      <c r="G26" s="336"/>
      <c r="H26" s="337"/>
      <c r="I26" s="129"/>
      <c r="J26" s="130"/>
      <c r="K26" s="131"/>
      <c r="L26" s="109"/>
      <c r="M26" s="109"/>
      <c r="N26" s="132"/>
      <c r="O26" s="125"/>
      <c r="P26" s="48"/>
      <c r="Q26" s="48"/>
      <c r="T26" s="48"/>
      <c r="U26" s="48"/>
      <c r="V26" s="26">
        <f t="shared" si="2"/>
        <v>0</v>
      </c>
      <c r="W26" s="26">
        <f t="shared" si="3"/>
        <v>1</v>
      </c>
      <c r="X26" s="26">
        <f t="shared" si="4"/>
        <v>0</v>
      </c>
      <c r="AM26" s="59" t="s">
        <v>183</v>
      </c>
      <c r="AN26" s="60">
        <f t="shared" ref="AN26:BB26" si="11">SUM(AN19:AN25)</f>
        <v>0</v>
      </c>
      <c r="AO26" s="61">
        <f t="shared" si="11"/>
        <v>0</v>
      </c>
      <c r="AP26" s="61">
        <f t="shared" si="11"/>
        <v>0</v>
      </c>
      <c r="AQ26" s="61">
        <f t="shared" si="11"/>
        <v>0</v>
      </c>
      <c r="AR26" s="62">
        <f t="shared" si="11"/>
        <v>0</v>
      </c>
      <c r="AS26" s="60">
        <f t="shared" si="11"/>
        <v>0</v>
      </c>
      <c r="AT26" s="61">
        <f t="shared" si="11"/>
        <v>0</v>
      </c>
      <c r="AU26" s="61">
        <f t="shared" si="11"/>
        <v>0</v>
      </c>
      <c r="AV26" s="61">
        <f t="shared" si="11"/>
        <v>0</v>
      </c>
      <c r="AW26" s="62">
        <f t="shared" si="11"/>
        <v>0</v>
      </c>
      <c r="AX26" s="60">
        <f t="shared" si="11"/>
        <v>0</v>
      </c>
      <c r="AY26" s="61">
        <f t="shared" si="11"/>
        <v>0</v>
      </c>
      <c r="AZ26" s="61">
        <f t="shared" si="11"/>
        <v>0</v>
      </c>
      <c r="BA26" s="61">
        <f t="shared" si="11"/>
        <v>0</v>
      </c>
      <c r="BB26" s="62">
        <f t="shared" si="11"/>
        <v>0</v>
      </c>
    </row>
    <row r="27" spans="3:54">
      <c r="C27" s="124" t="s">
        <v>184</v>
      </c>
      <c r="D27" s="133"/>
      <c r="E27" s="400"/>
      <c r="F27" s="401"/>
      <c r="G27" s="336"/>
      <c r="H27" s="337"/>
      <c r="I27" s="336"/>
      <c r="J27" s="337"/>
      <c r="K27" s="134"/>
      <c r="L27" s="135"/>
      <c r="M27" s="135"/>
      <c r="N27" s="136"/>
      <c r="O27" s="125"/>
      <c r="V27" s="26">
        <f t="shared" si="2"/>
        <v>0</v>
      </c>
      <c r="W27" s="26">
        <f t="shared" si="3"/>
        <v>1</v>
      </c>
      <c r="X27" s="26">
        <f t="shared" si="4"/>
        <v>0</v>
      </c>
    </row>
    <row r="28" spans="3:54">
      <c r="C28" s="109"/>
      <c r="D28" s="109"/>
      <c r="E28" s="109"/>
      <c r="F28" s="109"/>
      <c r="G28" s="109"/>
      <c r="H28" s="109"/>
      <c r="I28" s="109"/>
      <c r="J28" s="109"/>
      <c r="K28" s="109"/>
      <c r="L28" s="109"/>
      <c r="M28" s="109"/>
      <c r="N28" s="109"/>
      <c r="O28" s="109"/>
      <c r="AM28" s="26" t="s">
        <v>185</v>
      </c>
      <c r="AN28" s="26"/>
      <c r="AO28" s="26"/>
      <c r="AP28" s="26"/>
      <c r="AQ28" s="26"/>
      <c r="AR28" s="26"/>
      <c r="AS28" s="26"/>
      <c r="AT28" s="26"/>
      <c r="AU28" s="26"/>
      <c r="AV28" s="26"/>
      <c r="AW28" s="26"/>
      <c r="AX28" s="26">
        <f ca="1">YEAR(TODAY())</f>
        <v>2024</v>
      </c>
      <c r="AY28" s="63">
        <f>DATE('Generelt om prosjektet'!C26,1,1)</f>
        <v>45658</v>
      </c>
      <c r="AZ28" s="26">
        <f>YEAR(AY28)</f>
        <v>2025</v>
      </c>
      <c r="BA28" s="26"/>
    </row>
    <row r="29" spans="3:54">
      <c r="C29" s="118" t="s">
        <v>186</v>
      </c>
      <c r="D29" s="118"/>
      <c r="E29" s="118" t="s">
        <v>187</v>
      </c>
      <c r="F29" s="118" t="s">
        <v>164</v>
      </c>
      <c r="G29" s="137" t="s">
        <v>90</v>
      </c>
      <c r="H29" s="138"/>
      <c r="I29" s="138"/>
      <c r="J29" s="117"/>
      <c r="K29" s="109"/>
      <c r="L29" s="109"/>
      <c r="M29" s="109"/>
      <c r="N29" s="109"/>
      <c r="O29" s="109"/>
      <c r="U29" s="25" t="s">
        <v>188</v>
      </c>
      <c r="V29" s="26">
        <f>SUM(E19:F22)</f>
        <v>0</v>
      </c>
      <c r="W29" s="26">
        <f>SUM(G19:H22)</f>
        <v>0</v>
      </c>
      <c r="X29" s="26">
        <f>SUM(I19:J22)</f>
        <v>0</v>
      </c>
      <c r="AM29" s="26" t="s">
        <v>189</v>
      </c>
      <c r="AN29" s="26"/>
      <c r="AO29" s="26"/>
      <c r="AP29" s="26"/>
      <c r="AQ29" s="26"/>
      <c r="AR29" s="26"/>
      <c r="AS29" s="26"/>
      <c r="AT29" s="26"/>
      <c r="AU29" s="26"/>
      <c r="AV29" s="26"/>
      <c r="AW29" s="26"/>
      <c r="AX29" s="26">
        <f ca="1">IF(AZ28&gt;AX28,AZ28,AX28)</f>
        <v>2025</v>
      </c>
      <c r="AY29" s="26"/>
      <c r="AZ29" s="26"/>
      <c r="BA29" s="26"/>
    </row>
    <row r="30" spans="3:54">
      <c r="C30" s="111" t="s">
        <v>190</v>
      </c>
      <c r="D30" s="154" t="s">
        <v>191</v>
      </c>
      <c r="E30" s="270">
        <v>1.95</v>
      </c>
      <c r="F30" s="111" t="s">
        <v>192</v>
      </c>
      <c r="G30" s="397"/>
      <c r="H30" s="398"/>
      <c r="I30" s="398"/>
      <c r="J30" s="399"/>
      <c r="U30" s="25" t="s">
        <v>193</v>
      </c>
      <c r="V30" s="26">
        <f>SUM(E23:H24)</f>
        <v>0</v>
      </c>
      <c r="W30" s="26"/>
      <c r="X30" s="26"/>
      <c r="AM30" s="26" t="s">
        <v>194</v>
      </c>
      <c r="AN30" s="26"/>
      <c r="AO30" s="26"/>
      <c r="AP30" s="26"/>
      <c r="AQ30" s="26"/>
      <c r="AR30" s="26"/>
      <c r="AS30" s="26"/>
      <c r="AT30" s="26"/>
      <c r="AU30" s="26"/>
      <c r="AV30" s="26"/>
      <c r="AW30" s="26"/>
      <c r="AX30" s="63">
        <f>DATE(I27,1,1)</f>
        <v>1</v>
      </c>
      <c r="AY30" s="26"/>
      <c r="AZ30" s="26">
        <f>IF(I27="",0,YEAR(AX30))</f>
        <v>0</v>
      </c>
      <c r="BA30" s="26"/>
    </row>
    <row r="31" spans="3:54">
      <c r="C31" s="109"/>
      <c r="D31" s="109"/>
      <c r="E31" s="109"/>
      <c r="F31" s="109"/>
      <c r="G31" s="378"/>
      <c r="H31" s="378"/>
      <c r="I31" s="378"/>
      <c r="J31" s="378"/>
      <c r="AM31" s="26" t="s">
        <v>195</v>
      </c>
      <c r="AN31" s="26"/>
      <c r="AO31" s="26"/>
      <c r="AP31" s="26"/>
      <c r="AQ31" s="26"/>
      <c r="AR31" s="26"/>
      <c r="AS31" s="26"/>
      <c r="AT31" s="26"/>
      <c r="AU31" s="26"/>
      <c r="AV31" s="26"/>
      <c r="AW31" s="26"/>
      <c r="AX31" s="26">
        <f ca="1">AX29-AZ30</f>
        <v>2025</v>
      </c>
      <c r="AY31" s="26" t="s">
        <v>196</v>
      </c>
      <c r="AZ31" s="26">
        <f>'Generelt om prosjektet'!C24</f>
        <v>50</v>
      </c>
      <c r="BA31" s="26" t="s">
        <v>196</v>
      </c>
    </row>
    <row r="32" spans="3:54">
      <c r="C32" s="109"/>
      <c r="D32" s="109"/>
      <c r="E32" s="109"/>
      <c r="F32" s="109"/>
      <c r="G32" s="378"/>
      <c r="H32" s="378"/>
      <c r="I32" s="378"/>
      <c r="J32" s="378"/>
      <c r="AM32" s="26" t="s">
        <v>197</v>
      </c>
      <c r="AN32" s="26"/>
      <c r="AO32" s="26"/>
      <c r="AP32" s="26"/>
      <c r="AQ32" s="26"/>
      <c r="AR32" s="26"/>
      <c r="AS32" s="26"/>
      <c r="AT32" s="26"/>
      <c r="AU32" s="26"/>
      <c r="AV32" s="26"/>
      <c r="AW32" s="26"/>
      <c r="AX32" s="26">
        <f ca="1">'Generelt om prosjektet'!C24-AX31</f>
        <v>-1975</v>
      </c>
      <c r="AY32" s="26" t="s">
        <v>196</v>
      </c>
      <c r="AZ32" s="26"/>
      <c r="BA32" s="26"/>
    </row>
    <row r="33" spans="3:53" ht="14.1" thickBot="1">
      <c r="C33" s="139" t="s">
        <v>198</v>
      </c>
      <c r="D33" s="118" t="s">
        <v>4</v>
      </c>
      <c r="E33" s="118" t="s">
        <v>199</v>
      </c>
      <c r="F33" s="118" t="s">
        <v>164</v>
      </c>
      <c r="G33" s="137" t="s">
        <v>90</v>
      </c>
      <c r="H33" s="138"/>
      <c r="I33" s="138"/>
      <c r="J33" s="117"/>
      <c r="AE33" s="27" t="s">
        <v>200</v>
      </c>
      <c r="AF33" s="28"/>
      <c r="AG33" s="29"/>
      <c r="AM33" s="26" t="s">
        <v>201</v>
      </c>
      <c r="AX33" s="64">
        <f ca="1">IF($AX$31&lt;$AZ$31,AX26/$AZ$31*$AX$32,0)</f>
        <v>0</v>
      </c>
      <c r="AY33" s="64">
        <f ca="1">IF($AX$31&lt;$AZ$31,AY26/$AZ$31*$AX$32,0)</f>
        <v>0</v>
      </c>
      <c r="AZ33" s="64">
        <f ca="1">IF($AX$31&lt;$AZ$31,AZ26/$AZ$31*$AX$32,0)</f>
        <v>0</v>
      </c>
      <c r="BA33" s="64">
        <f ca="1">IF($AX$31&lt;$AZ$31,BA26/$AZ$31*$AX$32,0)</f>
        <v>0</v>
      </c>
    </row>
    <row r="34" spans="3:53">
      <c r="C34" s="107" t="s">
        <v>202</v>
      </c>
      <c r="D34" s="107" t="s">
        <v>203</v>
      </c>
      <c r="E34" s="140"/>
      <c r="F34" s="107" t="s">
        <v>204</v>
      </c>
      <c r="G34" s="355"/>
      <c r="H34" s="355"/>
      <c r="I34" s="355"/>
      <c r="J34" s="355"/>
      <c r="AE34" s="26"/>
      <c r="AF34" s="26"/>
      <c r="AG34" s="26"/>
      <c r="AI34" s="26" t="s">
        <v>205</v>
      </c>
      <c r="AJ34" s="26">
        <f t="shared" ref="AJ34:AJ43" ca="1" si="12">SUMIF($L$19:$M$24,AI34,$M$19:$M$24)</f>
        <v>0</v>
      </c>
      <c r="AK34" s="25" t="s">
        <v>206</v>
      </c>
    </row>
    <row r="35" spans="3:53">
      <c r="C35" s="107" t="s">
        <v>207</v>
      </c>
      <c r="D35" s="107" t="s">
        <v>208</v>
      </c>
      <c r="E35" s="140"/>
      <c r="F35" s="107" t="s">
        <v>204</v>
      </c>
      <c r="G35" s="355"/>
      <c r="H35" s="355"/>
      <c r="I35" s="355"/>
      <c r="J35" s="355"/>
      <c r="AE35" s="26" t="s">
        <v>185</v>
      </c>
      <c r="AF35" s="26">
        <f>'Generelt om prosjektet'!C24</f>
        <v>50</v>
      </c>
      <c r="AG35" s="26"/>
      <c r="AI35" s="26" t="s">
        <v>209</v>
      </c>
      <c r="AJ35" s="26">
        <f t="shared" ca="1" si="12"/>
        <v>0</v>
      </c>
      <c r="AM35" s="27" t="s">
        <v>210</v>
      </c>
      <c r="AN35" s="28"/>
      <c r="AO35" s="28"/>
      <c r="AP35" s="28"/>
      <c r="AQ35" s="28"/>
      <c r="AR35" s="28"/>
      <c r="AS35" s="28"/>
      <c r="AT35" s="29"/>
    </row>
    <row r="36" spans="3:53">
      <c r="C36" s="107" t="s">
        <v>211</v>
      </c>
      <c r="D36" s="170"/>
      <c r="E36" s="156"/>
      <c r="F36" s="107" t="s">
        <v>204</v>
      </c>
      <c r="G36" s="355"/>
      <c r="H36" s="355"/>
      <c r="I36" s="355"/>
      <c r="J36" s="355"/>
      <c r="AE36" s="26" t="str">
        <f>C34</f>
        <v>Beregnet levert strøm</v>
      </c>
      <c r="AF36" s="38">
        <f>E34*Utslippsdata!C76*$AF$35/1000</f>
        <v>0</v>
      </c>
      <c r="AG36" s="26" t="s">
        <v>212</v>
      </c>
      <c r="AI36" s="26" t="s">
        <v>213</v>
      </c>
      <c r="AJ36" s="26">
        <f t="shared" ca="1" si="12"/>
        <v>0</v>
      </c>
      <c r="AK36" s="25" t="s">
        <v>214</v>
      </c>
      <c r="AM36" s="25">
        <f>'Generelt om prosjektet'!C24</f>
        <v>50</v>
      </c>
      <c r="AN36" s="25" t="s">
        <v>196</v>
      </c>
      <c r="AO36" s="333" t="s">
        <v>215</v>
      </c>
      <c r="AP36" s="333"/>
      <c r="AQ36" s="333"/>
      <c r="AR36" s="333"/>
      <c r="AS36" s="333"/>
      <c r="AT36" s="333"/>
    </row>
    <row r="37" spans="3:53" ht="14.1">
      <c r="C37" s="107" t="s">
        <v>216</v>
      </c>
      <c r="D37" s="107" t="s">
        <v>217</v>
      </c>
      <c r="E37" s="171"/>
      <c r="F37" s="107" t="s">
        <v>218</v>
      </c>
      <c r="G37" s="355"/>
      <c r="H37" s="355"/>
      <c r="I37" s="355"/>
      <c r="J37" s="355"/>
      <c r="AE37" s="26" t="str">
        <f>C35</f>
        <v>Beregnet levert fjernvarme</v>
      </c>
      <c r="AF37" s="38">
        <f>E35*Utslippsdata!C81*$AF$35/1000</f>
        <v>0</v>
      </c>
      <c r="AG37" s="26" t="s">
        <v>212</v>
      </c>
      <c r="AI37" s="26" t="s">
        <v>219</v>
      </c>
      <c r="AJ37" s="26">
        <f t="shared" ca="1" si="12"/>
        <v>0</v>
      </c>
      <c r="AM37" s="65"/>
      <c r="AN37" s="65" t="s">
        <v>220</v>
      </c>
      <c r="AO37" s="66" t="s">
        <v>221</v>
      </c>
      <c r="AP37" s="66" t="s">
        <v>222</v>
      </c>
      <c r="AQ37" s="66" t="s">
        <v>223</v>
      </c>
      <c r="AR37" s="66" t="s">
        <v>224</v>
      </c>
      <c r="AS37" s="66" t="s">
        <v>225</v>
      </c>
      <c r="AT37" s="66" t="s">
        <v>226</v>
      </c>
      <c r="AW37" s="67"/>
    </row>
    <row r="38" spans="3:53" ht="14.1" thickBot="1">
      <c r="C38" s="107" t="s">
        <v>227</v>
      </c>
      <c r="D38" s="107" t="s">
        <v>227</v>
      </c>
      <c r="E38" s="140"/>
      <c r="F38" s="107" t="s">
        <v>228</v>
      </c>
      <c r="G38" s="355"/>
      <c r="H38" s="355"/>
      <c r="I38" s="355"/>
      <c r="J38" s="355"/>
      <c r="V38" s="27" t="s">
        <v>229</v>
      </c>
      <c r="W38" s="28"/>
      <c r="X38" s="28"/>
      <c r="Y38" s="29"/>
      <c r="AE38" s="26" t="str">
        <f>C36</f>
        <v>Annen kilde, spesifiser</v>
      </c>
      <c r="AF38" s="38">
        <f>E36*E37*$AF$35/1000</f>
        <v>0</v>
      </c>
      <c r="AG38" s="26" t="s">
        <v>212</v>
      </c>
      <c r="AI38" s="26" t="s">
        <v>230</v>
      </c>
      <c r="AJ38" s="26">
        <f t="shared" ca="1" si="12"/>
        <v>0</v>
      </c>
      <c r="AK38" s="25" t="s">
        <v>231</v>
      </c>
      <c r="AM38" s="9" t="s">
        <v>232</v>
      </c>
      <c r="AN38" s="9">
        <f t="shared" ref="AN38:AN48" si="13">SUMIF($D$19:$D$24,AM38,$E$19:$E$24)+SUMIF($D$19:$D$24,AM38,$G$19:$G$24)</f>
        <v>0</v>
      </c>
      <c r="AO38" s="14">
        <f>IFERROR(Utslippsdata!C114+800/AN38,0)*AN38</f>
        <v>0</v>
      </c>
      <c r="AP38" s="14">
        <f>IFERROR(120+1600/AN38,0)*AN38</f>
        <v>0</v>
      </c>
      <c r="AQ38" s="14">
        <f>IFERROR(145+2500/AN38,0)*AN38</f>
        <v>0</v>
      </c>
      <c r="AR38" s="14">
        <f>IFERROR(175+4100/AN38,0)*AN38</f>
        <v>0</v>
      </c>
      <c r="AS38" s="14">
        <f>IFERROR(205+5800/AN38,0)*AN38</f>
        <v>0</v>
      </c>
      <c r="AT38" s="14">
        <f>IFERROR(250+8000/AN38,0)*AN38</f>
        <v>0</v>
      </c>
    </row>
    <row r="39" spans="3:53">
      <c r="C39" s="107" t="s">
        <v>233</v>
      </c>
      <c r="D39" s="107" t="s">
        <v>234</v>
      </c>
      <c r="E39" s="140"/>
      <c r="F39" s="107" t="s">
        <v>204</v>
      </c>
      <c r="G39" s="355"/>
      <c r="H39" s="355"/>
      <c r="I39" s="355"/>
      <c r="J39" s="355"/>
      <c r="V39" s="26" t="s">
        <v>235</v>
      </c>
      <c r="W39" s="26"/>
      <c r="X39" s="26"/>
      <c r="Y39" s="26" t="s">
        <v>236</v>
      </c>
      <c r="Z39" s="68"/>
      <c r="AA39" s="69" t="s">
        <v>97</v>
      </c>
      <c r="AB39" s="48"/>
      <c r="AE39" s="26" t="str">
        <f>C39</f>
        <v>Levert strøm fra solceller</v>
      </c>
      <c r="AF39" s="38">
        <f>E39*Utslippsdata!C76*$AF$35/1000</f>
        <v>0</v>
      </c>
      <c r="AG39" s="26" t="s">
        <v>212</v>
      </c>
      <c r="AI39" s="26" t="s">
        <v>237</v>
      </c>
      <c r="AJ39" s="26">
        <f t="shared" ca="1" si="12"/>
        <v>0</v>
      </c>
      <c r="AK39" s="25" t="s">
        <v>238</v>
      </c>
      <c r="AM39" s="9" t="s">
        <v>239</v>
      </c>
      <c r="AN39" s="9">
        <f t="shared" si="13"/>
        <v>0</v>
      </c>
      <c r="AO39" s="14">
        <f>IFERROR(85+600/AN39,0)*AN39</f>
        <v>0</v>
      </c>
      <c r="AP39" s="14">
        <f>IFERROR(95+1000/AN39,0)*AN39</f>
        <v>0</v>
      </c>
      <c r="AQ39" s="14">
        <f>IFERROR(110+1500/AN39,0)*AN39</f>
        <v>0</v>
      </c>
      <c r="AR39" s="14">
        <f>IFERROR(135+2200/AN39,0)*AN39</f>
        <v>0</v>
      </c>
      <c r="AS39" s="14">
        <f>IFERROR(160+3000/AN39,0)*AN39</f>
        <v>0</v>
      </c>
      <c r="AT39" s="14">
        <f>IFERROR(200+4000/AN39,0)*AN39</f>
        <v>0</v>
      </c>
    </row>
    <row r="40" spans="3:53">
      <c r="C40" s="109"/>
      <c r="D40" s="109"/>
      <c r="E40" s="109"/>
      <c r="F40" s="109"/>
      <c r="G40" s="109"/>
      <c r="H40" s="109"/>
      <c r="I40" s="109"/>
      <c r="J40" s="109"/>
      <c r="V40" s="26">
        <f>IF(OR(D19=AK135,D20=AK135,D21=AK135,D22=AK135),1,0)</f>
        <v>0</v>
      </c>
      <c r="W40" s="26"/>
      <c r="X40" s="26">
        <v>1.95</v>
      </c>
      <c r="Y40" s="26">
        <f>IF(E30="",X40,E30)</f>
        <v>1.95</v>
      </c>
      <c r="AA40" s="45" t="s">
        <v>240</v>
      </c>
      <c r="AE40" s="26" t="s">
        <v>241</v>
      </c>
      <c r="AF40" s="38">
        <f>E38*(Utslippsdata!B107+Utslippsdata!C107+Utslippsdata!D107+Utslippsdata!E107+Utslippsdata!F107)/1000</f>
        <v>0</v>
      </c>
      <c r="AG40" s="26" t="s">
        <v>212</v>
      </c>
      <c r="AI40" s="26" t="s">
        <v>242</v>
      </c>
      <c r="AJ40" s="26">
        <f t="shared" ca="1" si="12"/>
        <v>0</v>
      </c>
      <c r="AK40" s="25" t="s">
        <v>243</v>
      </c>
      <c r="AM40" s="9" t="s">
        <v>244</v>
      </c>
      <c r="AN40" s="9">
        <f t="shared" si="13"/>
        <v>0</v>
      </c>
      <c r="AO40" s="70">
        <f>$AN40*Utslippsdata!C118</f>
        <v>0</v>
      </c>
      <c r="AP40" s="70">
        <f>$AN40*Utslippsdata!D118</f>
        <v>0</v>
      </c>
      <c r="AQ40" s="70">
        <f>$AN40*Utslippsdata!E118</f>
        <v>0</v>
      </c>
      <c r="AR40" s="70">
        <f>$AN40*Utslippsdata!F118</f>
        <v>0</v>
      </c>
      <c r="AS40" s="70">
        <f>$AN40*Utslippsdata!G118</f>
        <v>0</v>
      </c>
      <c r="AT40" s="70">
        <f>$AN40*Utslippsdata!H118</f>
        <v>0</v>
      </c>
    </row>
    <row r="41" spans="3:53">
      <c r="C41" s="107" t="s">
        <v>245</v>
      </c>
      <c r="D41" s="108" t="s">
        <v>240</v>
      </c>
      <c r="E41" s="109"/>
      <c r="F41" s="109"/>
      <c r="G41" s="109"/>
      <c r="H41" s="109"/>
      <c r="I41" s="109"/>
      <c r="J41" s="109"/>
      <c r="AA41" s="45" t="s">
        <v>246</v>
      </c>
      <c r="AI41" s="26" t="s">
        <v>247</v>
      </c>
      <c r="AJ41" s="26">
        <f t="shared" ca="1" si="12"/>
        <v>0</v>
      </c>
      <c r="AK41" s="25" t="s">
        <v>248</v>
      </c>
      <c r="AM41" s="9" t="s">
        <v>249</v>
      </c>
      <c r="AN41" s="9">
        <f t="shared" si="13"/>
        <v>0</v>
      </c>
      <c r="AO41" s="70">
        <f>$AN41*Utslippsdata!C119</f>
        <v>0</v>
      </c>
      <c r="AP41" s="70">
        <f>$AN41*Utslippsdata!D119</f>
        <v>0</v>
      </c>
      <c r="AQ41" s="70">
        <f>$AN41*Utslippsdata!E119</f>
        <v>0</v>
      </c>
      <c r="AR41" s="70">
        <f>$AN41*Utslippsdata!F119</f>
        <v>0</v>
      </c>
      <c r="AS41" s="70">
        <f>$AN41*Utslippsdata!G119</f>
        <v>0</v>
      </c>
      <c r="AT41" s="70">
        <f>$AN41*Utslippsdata!H119</f>
        <v>0</v>
      </c>
    </row>
    <row r="42" spans="3:53">
      <c r="C42" s="109"/>
      <c r="D42" s="109"/>
      <c r="E42" s="109"/>
      <c r="F42" s="109"/>
      <c r="G42" s="109"/>
      <c r="H42" s="109"/>
      <c r="I42" s="109"/>
      <c r="J42" s="109"/>
      <c r="AA42" s="45" t="s">
        <v>98</v>
      </c>
      <c r="AE42" s="71" t="s">
        <v>250</v>
      </c>
      <c r="AF42" s="71"/>
      <c r="AI42" s="26" t="s">
        <v>251</v>
      </c>
      <c r="AJ42" s="26">
        <f t="shared" ca="1" si="12"/>
        <v>0</v>
      </c>
      <c r="AK42" s="25" t="s">
        <v>252</v>
      </c>
      <c r="AM42" s="9" t="s">
        <v>253</v>
      </c>
      <c r="AN42" s="9">
        <f t="shared" si="13"/>
        <v>0</v>
      </c>
      <c r="AO42" s="70">
        <f>$AN42*Utslippsdata!C120</f>
        <v>0</v>
      </c>
      <c r="AP42" s="70">
        <f>$AN42*Utslippsdata!D120</f>
        <v>0</v>
      </c>
      <c r="AQ42" s="70">
        <f>$AN42*Utslippsdata!E120</f>
        <v>0</v>
      </c>
      <c r="AR42" s="70">
        <f>$AN42*Utslippsdata!F120</f>
        <v>0</v>
      </c>
      <c r="AS42" s="70">
        <f>$AN42*Utslippsdata!G120</f>
        <v>0</v>
      </c>
      <c r="AT42" s="70">
        <f>$AN42*Utslippsdata!H120</f>
        <v>0</v>
      </c>
    </row>
    <row r="43" spans="3:53">
      <c r="C43" s="118" t="s">
        <v>254</v>
      </c>
      <c r="D43" s="118"/>
      <c r="E43" s="118" t="s">
        <v>255</v>
      </c>
      <c r="F43" s="137" t="s">
        <v>90</v>
      </c>
      <c r="G43" s="138"/>
      <c r="H43" s="138"/>
      <c r="I43" s="138"/>
      <c r="J43" s="117"/>
      <c r="AA43" s="72"/>
      <c r="AE43" s="71" t="s">
        <v>256</v>
      </c>
      <c r="AF43" s="71"/>
      <c r="AI43" s="26" t="s">
        <v>257</v>
      </c>
      <c r="AJ43" s="26">
        <f t="shared" ca="1" si="12"/>
        <v>0</v>
      </c>
      <c r="AM43" s="9" t="s">
        <v>258</v>
      </c>
      <c r="AN43" s="9">
        <f t="shared" si="13"/>
        <v>0</v>
      </c>
      <c r="AO43" s="70">
        <f>$AN43*Utslippsdata!C121</f>
        <v>0</v>
      </c>
      <c r="AP43" s="70">
        <f>$AN43*Utslippsdata!D121</f>
        <v>0</v>
      </c>
      <c r="AQ43" s="70">
        <f>$AN43*Utslippsdata!E121</f>
        <v>0</v>
      </c>
      <c r="AR43" s="70">
        <f>$AN43*Utslippsdata!F121</f>
        <v>0</v>
      </c>
      <c r="AS43" s="70">
        <f>$AN43*Utslippsdata!G121</f>
        <v>0</v>
      </c>
      <c r="AT43" s="70">
        <f>$AN43*Utslippsdata!H121</f>
        <v>0</v>
      </c>
    </row>
    <row r="44" spans="3:53" ht="14.25" customHeight="1">
      <c r="C44" s="124" t="s">
        <v>259</v>
      </c>
      <c r="D44" s="133"/>
      <c r="E44" s="108" t="s">
        <v>260</v>
      </c>
      <c r="F44" s="355"/>
      <c r="G44" s="355"/>
      <c r="H44" s="355"/>
      <c r="I44" s="355"/>
      <c r="J44" s="355"/>
      <c r="V44" s="71" t="s">
        <v>261</v>
      </c>
      <c r="AA44" s="72"/>
      <c r="AE44" s="38">
        <f>D54*Utslippsdata!C146</f>
        <v>0</v>
      </c>
      <c r="AF44" s="26" t="s">
        <v>262</v>
      </c>
      <c r="AM44" s="9" t="s">
        <v>263</v>
      </c>
      <c r="AN44" s="9">
        <f t="shared" si="13"/>
        <v>0</v>
      </c>
      <c r="AO44" s="70">
        <f>$AN44*Utslippsdata!C122</f>
        <v>0</v>
      </c>
      <c r="AP44" s="70">
        <f>$AN44*Utslippsdata!D122</f>
        <v>0</v>
      </c>
      <c r="AQ44" s="70">
        <f>$AN44*Utslippsdata!E122</f>
        <v>0</v>
      </c>
      <c r="AR44" s="70">
        <f>$AN44*Utslippsdata!F122</f>
        <v>0</v>
      </c>
      <c r="AS44" s="70">
        <f>$AN44*Utslippsdata!G122</f>
        <v>0</v>
      </c>
      <c r="AT44" s="70">
        <f>$AN44*Utslippsdata!H122</f>
        <v>0</v>
      </c>
    </row>
    <row r="45" spans="3:53">
      <c r="C45" s="14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109"/>
      <c r="E45" s="109"/>
      <c r="F45" s="109"/>
      <c r="G45" s="109"/>
      <c r="H45" s="109"/>
      <c r="I45" s="109"/>
      <c r="J45" s="109"/>
      <c r="V45" s="26" t="s">
        <v>264</v>
      </c>
      <c r="AA45" s="45" t="s">
        <v>265</v>
      </c>
      <c r="AE45" s="38">
        <f>D55*Utslippsdata!C147</f>
        <v>0</v>
      </c>
      <c r="AF45" s="26" t="s">
        <v>262</v>
      </c>
      <c r="AI45" s="25" t="s">
        <v>266</v>
      </c>
      <c r="AJ45" s="25">
        <v>1.95</v>
      </c>
      <c r="AM45" s="9" t="s">
        <v>267</v>
      </c>
      <c r="AN45" s="9">
        <f t="shared" si="13"/>
        <v>0</v>
      </c>
      <c r="AO45" s="70">
        <f>$AN45*Utslippsdata!C123</f>
        <v>0</v>
      </c>
      <c r="AP45" s="70">
        <f>$AN45*Utslippsdata!D123</f>
        <v>0</v>
      </c>
      <c r="AQ45" s="70">
        <f>$AN45*Utslippsdata!E123</f>
        <v>0</v>
      </c>
      <c r="AR45" s="70">
        <f>$AN45*Utslippsdata!F123</f>
        <v>0</v>
      </c>
      <c r="AS45" s="70">
        <f>$AN45*Utslippsdata!G123</f>
        <v>0</v>
      </c>
      <c r="AT45" s="70">
        <f>$AN45*Utslippsdata!H123</f>
        <v>0</v>
      </c>
    </row>
    <row r="46" spans="3:53" ht="15" customHeight="1">
      <c r="C46" s="141" t="str">
        <f>IF(E44=Nei,"","*Hvis ja skal materialutslipp fra solceller, inverter, kabler, festesystem og ballast inkluderes i A1-A3, A4, A5, B1-B5 (antatt 30 år levetid) og C1-C4 inkluderes i resultattabell under")</f>
        <v/>
      </c>
      <c r="D46" s="109"/>
      <c r="E46" s="109"/>
      <c r="F46" s="109"/>
      <c r="G46" s="109"/>
      <c r="H46" s="109"/>
      <c r="I46" s="109"/>
      <c r="J46" s="109"/>
      <c r="V46" s="26">
        <f>IF(E38&gt;0,1,0)</f>
        <v>0</v>
      </c>
      <c r="AA46" s="45" t="s">
        <v>268</v>
      </c>
      <c r="AE46" s="38">
        <f>D56*Utslippsdata!C148</f>
        <v>0</v>
      </c>
      <c r="AF46" s="26" t="s">
        <v>262</v>
      </c>
      <c r="AI46" s="25" t="s">
        <v>269</v>
      </c>
      <c r="AJ46" s="25">
        <f>IF((OR(E30=0,E30="")),AJ45,E30)</f>
        <v>1.95</v>
      </c>
      <c r="AM46" s="9" t="s">
        <v>270</v>
      </c>
      <c r="AN46" s="9">
        <f t="shared" si="13"/>
        <v>0</v>
      </c>
      <c r="AO46" s="70">
        <f>$AN46*Utslippsdata!C124</f>
        <v>0</v>
      </c>
      <c r="AP46" s="70">
        <f>$AN46*Utslippsdata!D124</f>
        <v>0</v>
      </c>
      <c r="AQ46" s="70">
        <f>$AN46*Utslippsdata!E124</f>
        <v>0</v>
      </c>
      <c r="AR46" s="70">
        <f>$AN46*Utslippsdata!F124</f>
        <v>0</v>
      </c>
      <c r="AS46" s="70">
        <f>$AN46*Utslippsdata!G124</f>
        <v>0</v>
      </c>
      <c r="AT46" s="70">
        <f>$AN46*Utslippsdata!H124</f>
        <v>0</v>
      </c>
    </row>
    <row r="47" spans="3:53" ht="15" customHeight="1" thickBot="1">
      <c r="C47" s="109"/>
      <c r="D47" s="109"/>
      <c r="E47" s="109"/>
      <c r="F47" s="109"/>
      <c r="G47" s="109"/>
      <c r="H47" s="109"/>
      <c r="I47" s="109"/>
      <c r="J47" s="109"/>
      <c r="AA47" s="73" t="s">
        <v>260</v>
      </c>
      <c r="AE47" s="38">
        <f>D57*Utslippsdata!C149</f>
        <v>0</v>
      </c>
      <c r="AF47" s="26" t="s">
        <v>262</v>
      </c>
      <c r="AI47"/>
      <c r="AM47" s="9" t="s">
        <v>271</v>
      </c>
      <c r="AN47" s="9">
        <f t="shared" si="13"/>
        <v>0</v>
      </c>
      <c r="AO47" s="70">
        <f>$AN47*Utslippsdata!C125</f>
        <v>0</v>
      </c>
      <c r="AP47" s="70">
        <f>$AN47*Utslippsdata!D125</f>
        <v>0</v>
      </c>
      <c r="AQ47" s="70">
        <f>$AN47*Utslippsdata!E125</f>
        <v>0</v>
      </c>
      <c r="AR47" s="70">
        <f>$AN47*Utslippsdata!F125</f>
        <v>0</v>
      </c>
      <c r="AS47" s="70">
        <f>$AN47*Utslippsdata!G125</f>
        <v>0</v>
      </c>
      <c r="AT47" s="70">
        <f>$AN47*Utslippsdata!H125</f>
        <v>0</v>
      </c>
    </row>
    <row r="48" spans="3:53" ht="15" customHeight="1">
      <c r="C48" s="139" t="s">
        <v>272</v>
      </c>
      <c r="D48" s="389" t="s">
        <v>273</v>
      </c>
      <c r="E48" s="390" t="s">
        <v>274</v>
      </c>
      <c r="F48" s="390" t="s">
        <v>164</v>
      </c>
      <c r="G48" s="390" t="s">
        <v>275</v>
      </c>
      <c r="H48" s="390" t="s">
        <v>90</v>
      </c>
      <c r="I48" s="390"/>
      <c r="J48" s="390"/>
      <c r="AE48" s="194">
        <f>SUM(AE44:AE47)/1000</f>
        <v>0</v>
      </c>
      <c r="AF48" s="66" t="s">
        <v>212</v>
      </c>
      <c r="AI48" s="26" t="s">
        <v>276</v>
      </c>
      <c r="AJ48" s="26">
        <f ca="1">ROUND(AJ35*AJ46+AJ39,0)</f>
        <v>0</v>
      </c>
      <c r="AK48" s="25" t="s">
        <v>238</v>
      </c>
      <c r="AM48" s="9" t="s">
        <v>277</v>
      </c>
      <c r="AN48" s="9">
        <f t="shared" si="13"/>
        <v>0</v>
      </c>
      <c r="AO48" s="70">
        <f>$AN48*Utslippsdata!C126</f>
        <v>0</v>
      </c>
      <c r="AP48" s="70">
        <f>$AN48*Utslippsdata!D126</f>
        <v>0</v>
      </c>
      <c r="AQ48" s="70">
        <f>$AN48*Utslippsdata!E126</f>
        <v>0</v>
      </c>
      <c r="AR48" s="70">
        <f>$AN48*Utslippsdata!F126</f>
        <v>0</v>
      </c>
      <c r="AS48" s="70">
        <f>$AN48*Utslippsdata!G126</f>
        <v>0</v>
      </c>
      <c r="AT48" s="70">
        <f>$AN48*Utslippsdata!H126</f>
        <v>0</v>
      </c>
    </row>
    <row r="49" spans="3:46" ht="14.4">
      <c r="C49" s="118" t="s">
        <v>278</v>
      </c>
      <c r="D49" s="389"/>
      <c r="E49" s="390"/>
      <c r="F49" s="390"/>
      <c r="G49" s="390"/>
      <c r="H49" s="390"/>
      <c r="I49" s="390"/>
      <c r="J49" s="390"/>
      <c r="M49" s="48"/>
      <c r="N49" s="48"/>
      <c r="O49" s="48"/>
      <c r="P49" s="48"/>
      <c r="Q49" s="48"/>
      <c r="R49" s="48"/>
      <c r="S49" s="48"/>
      <c r="T49" s="48"/>
      <c r="U49" s="48"/>
      <c r="AI49"/>
      <c r="AM49" s="74" t="s">
        <v>183</v>
      </c>
      <c r="AN49" s="74"/>
      <c r="AO49" s="75">
        <f t="shared" ref="AO49:AT49" si="14">SUM(AO38:AO48)</f>
        <v>0</v>
      </c>
      <c r="AP49" s="75">
        <f t="shared" si="14"/>
        <v>0</v>
      </c>
      <c r="AQ49" s="75">
        <f t="shared" si="14"/>
        <v>0</v>
      </c>
      <c r="AR49" s="75">
        <f t="shared" si="14"/>
        <v>0</v>
      </c>
      <c r="AS49" s="75">
        <f t="shared" si="14"/>
        <v>0</v>
      </c>
      <c r="AT49" s="75">
        <f t="shared" si="14"/>
        <v>0</v>
      </c>
    </row>
    <row r="50" spans="3:46" ht="14.1">
      <c r="C50" s="107" t="s">
        <v>279</v>
      </c>
      <c r="D50" s="108">
        <v>50</v>
      </c>
      <c r="E50" s="140">
        <v>0</v>
      </c>
      <c r="F50" s="107" t="s">
        <v>280</v>
      </c>
      <c r="G50" s="108" t="s">
        <v>281</v>
      </c>
      <c r="H50" s="355"/>
      <c r="I50" s="355"/>
      <c r="J50" s="355"/>
      <c r="M50" s="48"/>
      <c r="N50" s="48"/>
      <c r="O50" s="48"/>
      <c r="P50" s="48"/>
      <c r="Q50" s="48"/>
      <c r="R50" s="48"/>
      <c r="S50" s="48"/>
      <c r="T50" s="48"/>
      <c r="U50" s="48"/>
      <c r="V50" s="27" t="s">
        <v>282</v>
      </c>
      <c r="W50" s="28"/>
      <c r="X50" s="28"/>
      <c r="Y50" s="28"/>
      <c r="Z50" s="28"/>
      <c r="AA50" s="29"/>
      <c r="AE50" s="71" t="s">
        <v>283</v>
      </c>
      <c r="AF50" s="71"/>
      <c r="AI50" s="26" t="str">
        <f ca="1">AJ34&amp;" "&amp;AK34</f>
        <v xml:space="preserve">0 arbeidsplasser, </v>
      </c>
      <c r="AJ50" s="25" t="str">
        <f ca="1">IF(AJ34=0,"",AI50)</f>
        <v/>
      </c>
      <c r="AM50" s="76" t="s">
        <v>284</v>
      </c>
      <c r="AN50" s="76"/>
      <c r="AO50" s="77">
        <f>AO49*$AM$36*Utslippsdata!$C$76/1000</f>
        <v>0</v>
      </c>
      <c r="AP50" s="77">
        <f>AP49*$AM$36*Utslippsdata!$C$76/1000</f>
        <v>0</v>
      </c>
      <c r="AQ50" s="77">
        <f>AQ49*$AM$36*Utslippsdata!$C$76/1000</f>
        <v>0</v>
      </c>
      <c r="AR50" s="77">
        <f>AR49*$AM$36*Utslippsdata!$C$76/1000</f>
        <v>0</v>
      </c>
      <c r="AS50" s="77">
        <f>AS49*$AM$36*Utslippsdata!$C$76/1000</f>
        <v>0</v>
      </c>
      <c r="AT50" s="77">
        <f>AT49*$AM$36*Utslippsdata!$C$76/1000</f>
        <v>0</v>
      </c>
    </row>
    <row r="51" spans="3:46">
      <c r="C51" s="107" t="s">
        <v>285</v>
      </c>
      <c r="D51" s="108">
        <v>50</v>
      </c>
      <c r="E51" s="140">
        <v>0</v>
      </c>
      <c r="F51" s="107" t="s">
        <v>280</v>
      </c>
      <c r="G51" s="108" t="s">
        <v>281</v>
      </c>
      <c r="H51" s="356"/>
      <c r="I51" s="357"/>
      <c r="J51" s="358"/>
      <c r="N51" s="48"/>
      <c r="V51" s="78">
        <v>1</v>
      </c>
      <c r="W51" s="78">
        <v>2</v>
      </c>
      <c r="X51" s="78">
        <v>3</v>
      </c>
      <c r="Y51" s="78">
        <v>4</v>
      </c>
      <c r="Z51" s="78">
        <v>5</v>
      </c>
      <c r="AE51" s="26">
        <f>D60*(Utslippsdata!C133+Utslippsdata!$C$136)</f>
        <v>0</v>
      </c>
      <c r="AF51" s="26" t="s">
        <v>262</v>
      </c>
      <c r="AI51" s="26" t="str">
        <f ca="1">AJ36&amp;" "&amp;AK36</f>
        <v xml:space="preserve">0 elevplasser, </v>
      </c>
      <c r="AJ51" s="25" t="str">
        <f ca="1">IF(AJ36=0,"",AI51)</f>
        <v/>
      </c>
    </row>
    <row r="52" spans="3:46">
      <c r="C52" s="109"/>
      <c r="D52" s="109"/>
      <c r="E52" s="109"/>
      <c r="F52" s="109"/>
      <c r="G52" s="109"/>
      <c r="H52" s="109"/>
      <c r="I52" s="109"/>
      <c r="J52" s="109"/>
      <c r="N52" s="48"/>
      <c r="V52" s="36" t="s">
        <v>275</v>
      </c>
      <c r="W52" s="36"/>
      <c r="AE52" s="26">
        <f>D61*(Utslippsdata!C134+Utslippsdata!$C$136)</f>
        <v>0</v>
      </c>
      <c r="AF52" s="26" t="s">
        <v>262</v>
      </c>
      <c r="AI52" s="26" t="str">
        <f ca="1">AJ38&amp;" "&amp;AK38</f>
        <v xml:space="preserve">0 beboere på sykehjem, </v>
      </c>
      <c r="AJ52" s="25" t="str">
        <f ca="1">IF(AJ38=0,"",AI52)</f>
        <v/>
      </c>
    </row>
    <row r="53" spans="3:46">
      <c r="C53" s="118" t="s">
        <v>286</v>
      </c>
      <c r="D53" s="118" t="s">
        <v>287</v>
      </c>
      <c r="E53" s="118" t="s">
        <v>164</v>
      </c>
      <c r="F53" s="137" t="s">
        <v>90</v>
      </c>
      <c r="G53" s="138"/>
      <c r="H53" s="138"/>
      <c r="I53" s="138"/>
      <c r="J53" s="117"/>
      <c r="N53" s="48"/>
      <c r="V53" s="26" t="s">
        <v>281</v>
      </c>
      <c r="W53" s="26"/>
      <c r="Z53" s="79">
        <f>Z54</f>
        <v>0.13887096774193547</v>
      </c>
      <c r="AA53" s="26" t="s">
        <v>288</v>
      </c>
      <c r="AE53" s="26">
        <f>D62*(Utslippsdata!C135+Utslippsdata!$C$136)</f>
        <v>0</v>
      </c>
      <c r="AF53" s="26" t="s">
        <v>262</v>
      </c>
      <c r="AI53" s="26" t="str">
        <f ca="1">AJ40&amp;" "&amp;AK40</f>
        <v xml:space="preserve">0 plasser for barn, </v>
      </c>
      <c r="AJ53" s="25" t="str">
        <f ca="1">IF(AJ40=0,"",AI53)</f>
        <v/>
      </c>
    </row>
    <row r="54" spans="3:46">
      <c r="C54" s="107" t="s">
        <v>289</v>
      </c>
      <c r="D54" s="108"/>
      <c r="E54" s="108" t="s">
        <v>228</v>
      </c>
      <c r="F54" s="356"/>
      <c r="G54" s="357"/>
      <c r="H54" s="357"/>
      <c r="I54" s="357"/>
      <c r="J54" s="358"/>
      <c r="N54" s="48"/>
      <c r="V54" s="26" t="s">
        <v>290</v>
      </c>
      <c r="W54" s="26">
        <v>2.87</v>
      </c>
      <c r="X54" s="25" t="s">
        <v>291</v>
      </c>
      <c r="Z54" s="80">
        <f>W59*W54/W58</f>
        <v>0.13887096774193547</v>
      </c>
      <c r="AA54" s="26" t="s">
        <v>288</v>
      </c>
      <c r="AE54" s="26">
        <f>D63*Utslippsdata!C136</f>
        <v>0</v>
      </c>
      <c r="AF54" s="26" t="s">
        <v>262</v>
      </c>
      <c r="AI54" s="26" t="str">
        <f ca="1">AJ41&amp;" "&amp;AK41</f>
        <v xml:space="preserve">0 besøkende pr år, </v>
      </c>
      <c r="AJ54" s="25" t="str">
        <f ca="1">IF(AJ41=0,"",AI54)</f>
        <v/>
      </c>
    </row>
    <row r="55" spans="3:46">
      <c r="C55" s="107" t="s">
        <v>292</v>
      </c>
      <c r="D55" s="108"/>
      <c r="E55" s="108" t="s">
        <v>228</v>
      </c>
      <c r="F55" s="356"/>
      <c r="G55" s="357"/>
      <c r="H55" s="357"/>
      <c r="I55" s="357"/>
      <c r="J55" s="358"/>
      <c r="N55" s="48"/>
      <c r="V55" s="26" t="s">
        <v>293</v>
      </c>
      <c r="W55" s="26"/>
      <c r="Z55" s="80">
        <f>W59*W60*Utslippsdata!C78/W58</f>
        <v>5.0112597937020005E-3</v>
      </c>
      <c r="AA55" s="26" t="s">
        <v>288</v>
      </c>
      <c r="AE55" s="26">
        <f>D64*Utslippsdata!C140</f>
        <v>0</v>
      </c>
      <c r="AF55" s="26" t="s">
        <v>262</v>
      </c>
      <c r="AI55" s="26" t="str">
        <f ca="1">AJ42&amp;" "&amp;AK42</f>
        <v xml:space="preserve">0 hotellsenger, </v>
      </c>
      <c r="AJ55" s="25" t="str">
        <f ca="1">IF(AJ42=0,"",AI55)</f>
        <v/>
      </c>
    </row>
    <row r="56" spans="3:46">
      <c r="C56" s="107" t="s">
        <v>294</v>
      </c>
      <c r="D56" s="108"/>
      <c r="E56" s="108" t="s">
        <v>228</v>
      </c>
      <c r="F56" s="356"/>
      <c r="G56" s="357"/>
      <c r="H56" s="357"/>
      <c r="I56" s="357"/>
      <c r="J56" s="358"/>
      <c r="N56" s="48"/>
      <c r="V56" s="26" t="s">
        <v>295</v>
      </c>
      <c r="W56" s="26">
        <v>1.462518</v>
      </c>
      <c r="X56" s="25" t="s">
        <v>296</v>
      </c>
      <c r="Z56" s="80">
        <f>W61*W63*W56/W58</f>
        <v>7.2654119999999989E-2</v>
      </c>
      <c r="AA56" s="26" t="s">
        <v>288</v>
      </c>
      <c r="AE56" s="26">
        <f>D65*Utslippsdata!C141</f>
        <v>0</v>
      </c>
      <c r="AF56" s="26" t="s">
        <v>262</v>
      </c>
      <c r="AI56" s="200" t="str">
        <f ca="1">AJ48&amp;" "&amp;AK48</f>
        <v xml:space="preserve">0 bosatte, </v>
      </c>
      <c r="AJ56" s="25" t="str">
        <f ca="1">IF(AJ48=0,"",AI56)</f>
        <v/>
      </c>
      <c r="AN56" s="27" t="s">
        <v>297</v>
      </c>
      <c r="AO56" s="28"/>
      <c r="AP56" s="28"/>
      <c r="AQ56" s="28"/>
      <c r="AR56" s="29"/>
    </row>
    <row r="57" spans="3:46">
      <c r="C57" s="107" t="s">
        <v>298</v>
      </c>
      <c r="D57" s="108"/>
      <c r="E57" s="108" t="s">
        <v>228</v>
      </c>
      <c r="F57" s="356"/>
      <c r="G57" s="357"/>
      <c r="H57" s="357"/>
      <c r="I57" s="357"/>
      <c r="J57" s="358"/>
      <c r="N57" s="48"/>
      <c r="AE57" s="26">
        <f>D66*Utslippsdata!C142</f>
        <v>0</v>
      </c>
      <c r="AF57" s="26" t="s">
        <v>262</v>
      </c>
      <c r="AI57" s="74" t="str">
        <f ca="1">AJ50&amp;AJ51&amp;AJ52&amp;AJ53&amp;AJ54&amp;AJ55&amp;AJ56</f>
        <v/>
      </c>
      <c r="AJ57" s="74"/>
    </row>
    <row r="58" spans="3:46" ht="14.1">
      <c r="C58" s="109"/>
      <c r="D58" s="109"/>
      <c r="E58" s="109"/>
      <c r="F58" s="109"/>
      <c r="G58" s="109"/>
      <c r="H58" s="109"/>
      <c r="I58" s="109"/>
      <c r="J58" s="109"/>
      <c r="N58" s="48"/>
      <c r="V58" s="26" t="s">
        <v>299</v>
      </c>
      <c r="W58" s="26">
        <v>9.3000000000000007</v>
      </c>
      <c r="X58" s="26" t="s">
        <v>300</v>
      </c>
      <c r="AE58" s="66">
        <f>SUM(AE51:AE57)/1000</f>
        <v>0</v>
      </c>
      <c r="AF58" s="66" t="s">
        <v>212</v>
      </c>
      <c r="AI58" s="74">
        <f ca="1">AJ34+AJ36+AJ38+AJ40+AJ41+AJ42+AJ48</f>
        <v>0</v>
      </c>
      <c r="AJ58" s="74" t="s">
        <v>301</v>
      </c>
    </row>
    <row r="59" spans="3:46">
      <c r="C59" s="118" t="s">
        <v>302</v>
      </c>
      <c r="D59" s="118" t="s">
        <v>303</v>
      </c>
      <c r="E59" s="118" t="s">
        <v>164</v>
      </c>
      <c r="F59" s="137" t="s">
        <v>90</v>
      </c>
      <c r="G59" s="138"/>
      <c r="H59" s="138"/>
      <c r="I59" s="138"/>
      <c r="J59" s="117"/>
      <c r="N59" s="48"/>
      <c r="V59" s="26" t="s">
        <v>304</v>
      </c>
      <c r="W59" s="26">
        <f>0.45</f>
        <v>0.45</v>
      </c>
      <c r="X59" s="26" t="s">
        <v>305</v>
      </c>
      <c r="Y59" s="26" t="s">
        <v>306</v>
      </c>
      <c r="Z59" s="26" t="s">
        <v>307</v>
      </c>
    </row>
    <row r="60" spans="3:46">
      <c r="C60" s="107" t="s">
        <v>308</v>
      </c>
      <c r="D60" s="108"/>
      <c r="E60" s="108" t="s">
        <v>228</v>
      </c>
      <c r="F60" s="356"/>
      <c r="G60" s="357"/>
      <c r="H60" s="357"/>
      <c r="I60" s="357"/>
      <c r="J60" s="358"/>
      <c r="N60" s="48"/>
      <c r="V60" s="26" t="s">
        <v>309</v>
      </c>
      <c r="W60" s="26">
        <v>4.2888888888888896</v>
      </c>
      <c r="X60" s="26" t="s">
        <v>310</v>
      </c>
      <c r="Y60" s="26"/>
      <c r="Z60" s="26"/>
    </row>
    <row r="61" spans="3:46">
      <c r="C61" s="107" t="s">
        <v>311</v>
      </c>
      <c r="D61" s="108"/>
      <c r="E61" s="108" t="s">
        <v>228</v>
      </c>
      <c r="F61" s="356"/>
      <c r="G61" s="357"/>
      <c r="H61" s="357"/>
      <c r="I61" s="357"/>
      <c r="J61" s="358"/>
      <c r="N61" s="48"/>
      <c r="V61" s="26" t="s">
        <v>312</v>
      </c>
      <c r="W61" s="26">
        <v>0.7</v>
      </c>
      <c r="X61" s="26" t="s">
        <v>313</v>
      </c>
      <c r="Y61" s="26" t="s">
        <v>314</v>
      </c>
      <c r="Z61" s="26" t="s">
        <v>315</v>
      </c>
    </row>
    <row r="62" spans="3:46">
      <c r="C62" s="107" t="s">
        <v>316</v>
      </c>
      <c r="D62" s="108"/>
      <c r="E62" s="108" t="s">
        <v>228</v>
      </c>
      <c r="F62" s="356"/>
      <c r="G62" s="357"/>
      <c r="H62" s="357"/>
      <c r="I62" s="357"/>
      <c r="J62" s="358"/>
      <c r="N62" s="48"/>
      <c r="V62" s="26" t="s">
        <v>312</v>
      </c>
      <c r="W62" s="26">
        <f>623251/1080000</f>
        <v>0.57708425925925921</v>
      </c>
      <c r="X62" s="26" t="s">
        <v>313</v>
      </c>
      <c r="Y62" s="26" t="s">
        <v>317</v>
      </c>
      <c r="Z62" s="26"/>
    </row>
    <row r="63" spans="3:46">
      <c r="C63" s="107" t="s">
        <v>318</v>
      </c>
      <c r="D63" s="108"/>
      <c r="E63" s="108" t="s">
        <v>228</v>
      </c>
      <c r="F63" s="356"/>
      <c r="G63" s="357"/>
      <c r="H63" s="357"/>
      <c r="I63" s="357"/>
      <c r="J63" s="358"/>
      <c r="N63" s="48"/>
      <c r="V63" s="26" t="s">
        <v>295</v>
      </c>
      <c r="W63" s="26">
        <v>0.66</v>
      </c>
      <c r="X63" s="26" t="s">
        <v>319</v>
      </c>
      <c r="Y63" s="26" t="s">
        <v>317</v>
      </c>
      <c r="Z63" s="26"/>
      <c r="AI63" s="25" t="str">
        <f>AJ47&amp;" "&amp;AK47</f>
        <v xml:space="preserve"> </v>
      </c>
    </row>
    <row r="64" spans="3:46">
      <c r="C64" s="107" t="s">
        <v>320</v>
      </c>
      <c r="D64" s="108"/>
      <c r="E64" s="108" t="s">
        <v>301</v>
      </c>
      <c r="F64" s="356"/>
      <c r="G64" s="357"/>
      <c r="H64" s="357"/>
      <c r="I64" s="357"/>
      <c r="J64" s="358"/>
      <c r="N64" s="48"/>
    </row>
    <row r="65" spans="3:38">
      <c r="C65" s="107" t="s">
        <v>321</v>
      </c>
      <c r="D65" s="108"/>
      <c r="E65" s="108" t="s">
        <v>301</v>
      </c>
      <c r="F65" s="356"/>
      <c r="G65" s="357"/>
      <c r="H65" s="357"/>
      <c r="I65" s="357"/>
      <c r="J65" s="358"/>
      <c r="N65" s="48"/>
      <c r="V65" s="334" t="s">
        <v>322</v>
      </c>
      <c r="W65" s="334"/>
      <c r="X65" s="334"/>
      <c r="Y65" s="334"/>
      <c r="Z65" s="334"/>
    </row>
    <row r="66" spans="3:38">
      <c r="C66" s="107" t="s">
        <v>323</v>
      </c>
      <c r="D66" s="108"/>
      <c r="E66" s="108" t="s">
        <v>301</v>
      </c>
      <c r="F66" s="356"/>
      <c r="G66" s="357"/>
      <c r="H66" s="357"/>
      <c r="I66" s="357"/>
      <c r="J66" s="358"/>
      <c r="N66" s="48"/>
      <c r="V66" s="26" t="s">
        <v>324</v>
      </c>
      <c r="W66" s="26" t="s">
        <v>325</v>
      </c>
      <c r="X66" s="26" t="s">
        <v>31</v>
      </c>
      <c r="Y66" s="26" t="s">
        <v>326</v>
      </c>
      <c r="Z66" s="26"/>
    </row>
    <row r="67" spans="3:38">
      <c r="G67" s="294"/>
      <c r="H67" s="294"/>
      <c r="I67" s="294"/>
      <c r="J67" s="294"/>
      <c r="N67" s="48"/>
      <c r="V67" s="26">
        <v>50</v>
      </c>
      <c r="W67" s="26">
        <v>2</v>
      </c>
      <c r="X67" s="70">
        <f>E50*V67*W67*Z54/1000</f>
        <v>0</v>
      </c>
      <c r="Y67" s="70">
        <f>E50*V67*W67*VLOOKUP(G50,$V$53:$Z$56,$Z$51,FALSE)/1000</f>
        <v>0</v>
      </c>
      <c r="Z67" s="26" t="s">
        <v>327</v>
      </c>
    </row>
    <row r="68" spans="3:38">
      <c r="G68" s="294"/>
      <c r="H68" s="294"/>
      <c r="I68" s="294"/>
      <c r="J68" s="294"/>
      <c r="V68" s="26">
        <v>50</v>
      </c>
      <c r="W68" s="26">
        <v>2</v>
      </c>
      <c r="X68" s="70">
        <f>E51*V68*W68*Z54/1000</f>
        <v>0</v>
      </c>
      <c r="Y68" s="70">
        <f>E51*V68*W68*VLOOKUP(G51,$V$53:$Z$56,$Z$51,FALSE)/1000</f>
        <v>0</v>
      </c>
      <c r="Z68" s="26" t="s">
        <v>327</v>
      </c>
    </row>
    <row r="69" spans="3:38" hidden="1">
      <c r="C69" s="2"/>
      <c r="D69" s="2"/>
      <c r="E69" s="2"/>
      <c r="F69" s="2"/>
      <c r="G69" s="362"/>
      <c r="H69" s="362"/>
      <c r="I69" s="362"/>
      <c r="J69" s="362"/>
      <c r="X69" s="81">
        <f>X67+X68</f>
        <v>0</v>
      </c>
      <c r="Y69" s="81">
        <f>Y67+Y68</f>
        <v>0</v>
      </c>
      <c r="Z69" s="26" t="s">
        <v>327</v>
      </c>
    </row>
    <row r="70" spans="3:38" hidden="1"/>
    <row r="71" spans="3:38" hidden="1"/>
    <row r="72" spans="3:38" hidden="1"/>
    <row r="73" spans="3:38" hidden="1"/>
    <row r="74" spans="3:38" hidden="1"/>
    <row r="76" spans="3:38" ht="24.9">
      <c r="C76" s="23" t="s">
        <v>426</v>
      </c>
    </row>
    <row r="77" spans="3:38">
      <c r="X77" s="2"/>
      <c r="Y77" s="2"/>
      <c r="Z77" s="2"/>
      <c r="AA77" s="2"/>
      <c r="AB77" s="2"/>
      <c r="AC77" s="2"/>
      <c r="AD77" s="2"/>
      <c r="AE77" s="2"/>
    </row>
    <row r="78" spans="3:38" ht="15" customHeight="1">
      <c r="C78" s="374" t="s">
        <v>329</v>
      </c>
      <c r="D78" s="363" t="str">
        <f>"Tonn CO2 ekv, "&amp;VLOOKUP('Generelt om prosjektet'!C25,'Generelt om prosjektet'!W25:X28,2,FALSE)&amp;". Klimagassutslippene er oppgit uten hensyn til binding av biogent karbon."</f>
        <v>Tonn CO2 ekv, GWP. Klimagassutslippene er oppgit uten hensyn til binding av biogent karbon.</v>
      </c>
      <c r="E78" s="364"/>
      <c r="F78" s="364"/>
      <c r="G78" s="364"/>
      <c r="H78" s="376" t="s">
        <v>330</v>
      </c>
      <c r="I78" s="142" t="s">
        <v>90</v>
      </c>
      <c r="J78" s="143"/>
      <c r="K78" s="143"/>
      <c r="L78" s="144"/>
      <c r="V78" s="48" t="s">
        <v>331</v>
      </c>
      <c r="AB78" s="2"/>
      <c r="AC78" s="2"/>
      <c r="AD78" s="2"/>
      <c r="AE78" s="2"/>
    </row>
    <row r="79" spans="3:38" ht="45" customHeight="1">
      <c r="C79" s="375"/>
      <c r="D79" s="145" t="s">
        <v>332</v>
      </c>
      <c r="E79" s="146" t="s">
        <v>333</v>
      </c>
      <c r="F79" s="146" t="s">
        <v>334</v>
      </c>
      <c r="G79" s="147" t="s">
        <v>183</v>
      </c>
      <c r="H79" s="377"/>
      <c r="I79" s="148"/>
      <c r="J79" s="149"/>
      <c r="K79" s="149"/>
      <c r="L79" s="150"/>
      <c r="V79" s="84" t="s">
        <v>31</v>
      </c>
      <c r="W79" s="84" t="s">
        <v>335</v>
      </c>
      <c r="X79" s="84" t="s">
        <v>336</v>
      </c>
      <c r="Y79" s="84" t="s">
        <v>337</v>
      </c>
      <c r="Z79" s="84" t="s">
        <v>338</v>
      </c>
      <c r="AB79" s="2"/>
      <c r="AC79" s="2"/>
      <c r="AD79" s="2"/>
      <c r="AE79" s="2"/>
    </row>
    <row r="80" spans="3:38" ht="30" customHeight="1">
      <c r="C80" s="110" t="s">
        <v>339</v>
      </c>
      <c r="D80" s="151"/>
      <c r="E80" s="140"/>
      <c r="F80" s="152"/>
      <c r="G80" s="153">
        <f>E80</f>
        <v>0</v>
      </c>
      <c r="H80" s="195">
        <f>IF(G93=0,0,IF(G80=0,0.1,G80))</f>
        <v>0</v>
      </c>
      <c r="I80" s="365"/>
      <c r="J80" s="366"/>
      <c r="K80" s="366"/>
      <c r="L80" s="367"/>
      <c r="U80" s="196">
        <f>G80</f>
        <v>0</v>
      </c>
      <c r="V80" s="85">
        <f>SUM(BB19:BB24)/1000</f>
        <v>0</v>
      </c>
      <c r="W80" s="86" t="s">
        <v>340</v>
      </c>
      <c r="X80" s="26" t="s">
        <v>341</v>
      </c>
      <c r="Y80" s="86" t="s">
        <v>342</v>
      </c>
      <c r="Z80" s="26" t="s">
        <v>341</v>
      </c>
      <c r="AH80" s="15" t="s">
        <v>30</v>
      </c>
      <c r="AI80" s="70">
        <f>G80</f>
        <v>0</v>
      </c>
      <c r="AJ80" s="87">
        <f>V80</f>
        <v>0</v>
      </c>
      <c r="AK80" s="88">
        <f>IFERROR(AI80/AJ80,0)</f>
        <v>0</v>
      </c>
      <c r="AL80" s="26"/>
    </row>
    <row r="81" spans="3:38" ht="15" customHeight="1">
      <c r="C81" s="154" t="s">
        <v>343</v>
      </c>
      <c r="D81" s="140"/>
      <c r="E81" s="140"/>
      <c r="F81" s="151"/>
      <c r="G81" s="153">
        <f>D81+E81</f>
        <v>0</v>
      </c>
      <c r="H81" s="22">
        <f>IFERROR(G81/V81,1)</f>
        <v>1</v>
      </c>
      <c r="I81" s="359"/>
      <c r="J81" s="360"/>
      <c r="K81" s="360"/>
      <c r="L81" s="361"/>
      <c r="U81" s="196">
        <f>G81</f>
        <v>0</v>
      </c>
      <c r="V81" s="89">
        <f>(AN25+AS25+AO25+AT25)/1000</f>
        <v>0</v>
      </c>
      <c r="W81" s="90">
        <v>1.1000000000000001</v>
      </c>
      <c r="X81" s="90">
        <v>0.9</v>
      </c>
      <c r="Y81" s="90">
        <v>0.1</v>
      </c>
      <c r="Z81" s="91">
        <v>0</v>
      </c>
      <c r="AH81" s="15" t="s">
        <v>32</v>
      </c>
      <c r="AI81" s="70">
        <f>G81</f>
        <v>0</v>
      </c>
      <c r="AJ81" s="70">
        <f>V81</f>
        <v>0</v>
      </c>
      <c r="AK81" s="88">
        <f>IFERROR(AI81/AJ81,0)</f>
        <v>0</v>
      </c>
      <c r="AL81" s="26"/>
    </row>
    <row r="82" spans="3:38">
      <c r="C82" s="107" t="s">
        <v>344</v>
      </c>
      <c r="D82" s="140"/>
      <c r="E82" s="140"/>
      <c r="F82" s="140"/>
      <c r="G82" s="153">
        <f>D82+E82+F82</f>
        <v>0</v>
      </c>
      <c r="H82" s="22">
        <f>IFERROR(G82/V82,1)</f>
        <v>1</v>
      </c>
      <c r="I82" s="368"/>
      <c r="J82" s="369"/>
      <c r="K82" s="369"/>
      <c r="L82" s="370"/>
      <c r="U82" s="196">
        <f>G82</f>
        <v>0</v>
      </c>
      <c r="V82" s="89">
        <f>(SUM(AN19:AN24)+SUM(AS19:AS24))/1000</f>
        <v>0</v>
      </c>
      <c r="W82" s="90">
        <v>1.1000000000000001</v>
      </c>
      <c r="X82" s="90">
        <v>0.9</v>
      </c>
      <c r="Y82" s="90">
        <v>0.1</v>
      </c>
      <c r="Z82" s="91">
        <v>0</v>
      </c>
      <c r="AH82" s="9" t="s">
        <v>35</v>
      </c>
      <c r="AI82" s="70">
        <f>G82+G83+G89+G92</f>
        <v>0</v>
      </c>
      <c r="AJ82" s="70">
        <f>V82+V83+V89</f>
        <v>0</v>
      </c>
      <c r="AK82" s="88">
        <f>IFERROR(AI82/AJ82,0)</f>
        <v>0</v>
      </c>
      <c r="AL82" s="26"/>
    </row>
    <row r="83" spans="3:38">
      <c r="C83" s="107" t="s">
        <v>345</v>
      </c>
      <c r="D83" s="140"/>
      <c r="E83" s="140"/>
      <c r="F83" s="140"/>
      <c r="G83" s="153">
        <f>D83+E83+F83</f>
        <v>0</v>
      </c>
      <c r="H83" s="22">
        <f>IFERROR(G83/V83,1)</f>
        <v>1</v>
      </c>
      <c r="I83" s="359"/>
      <c r="J83" s="360"/>
      <c r="K83" s="360"/>
      <c r="L83" s="361"/>
      <c r="U83" s="196">
        <f>G83</f>
        <v>0</v>
      </c>
      <c r="V83" s="89">
        <f>(SUM(AO19:AO24)+SUM(AT19:AT24))/1000</f>
        <v>0</v>
      </c>
      <c r="W83" s="90">
        <v>1.1000000000000001</v>
      </c>
      <c r="X83" s="90">
        <v>0.9</v>
      </c>
      <c r="Y83" s="90">
        <v>0.1</v>
      </c>
      <c r="Z83" s="91">
        <v>0</v>
      </c>
      <c r="AH83" s="9" t="s">
        <v>37</v>
      </c>
      <c r="AI83" s="70">
        <f>G84+G85+G86</f>
        <v>0</v>
      </c>
      <c r="AJ83" s="70">
        <f>V84+V85+V86</f>
        <v>0</v>
      </c>
      <c r="AK83" s="88">
        <f>IFERROR((AI83-G85)/AJ83,0)</f>
        <v>0</v>
      </c>
      <c r="AL83" s="26"/>
    </row>
    <row r="84" spans="3:38">
      <c r="C84" s="154" t="s">
        <v>346</v>
      </c>
      <c r="D84" s="140"/>
      <c r="E84" s="140"/>
      <c r="F84" s="140"/>
      <c r="G84" s="153">
        <f>D84+E84+F84</f>
        <v>0</v>
      </c>
      <c r="H84" s="22">
        <f>IFERROR(G84/V84,1)</f>
        <v>1</v>
      </c>
      <c r="I84" s="359"/>
      <c r="J84" s="360"/>
      <c r="K84" s="360"/>
      <c r="L84" s="361"/>
      <c r="U84" s="196">
        <f>G84</f>
        <v>0</v>
      </c>
      <c r="V84" s="89">
        <f>(SUM(AP19:AP25)+SUM(AU19:AU25))/1000</f>
        <v>0</v>
      </c>
      <c r="W84" s="90">
        <v>1.1000000000000001</v>
      </c>
      <c r="X84" s="90">
        <v>0.9</v>
      </c>
      <c r="Y84" s="90">
        <v>0.1</v>
      </c>
      <c r="Z84" s="91">
        <v>0</v>
      </c>
      <c r="AH84" s="9" t="s">
        <v>39</v>
      </c>
      <c r="AI84" s="70">
        <f>G90</f>
        <v>0</v>
      </c>
      <c r="AJ84" s="70">
        <f>V90</f>
        <v>0</v>
      </c>
      <c r="AK84" s="88">
        <f>IFERROR(AI84/AJ84,0)</f>
        <v>0</v>
      </c>
      <c r="AL84" s="26"/>
    </row>
    <row r="85" spans="3:38">
      <c r="C85" s="154" t="s">
        <v>347</v>
      </c>
      <c r="D85" s="371"/>
      <c r="E85" s="372"/>
      <c r="F85" s="373"/>
      <c r="G85" s="153">
        <f>D85</f>
        <v>0</v>
      </c>
      <c r="H85" s="155" t="s">
        <v>341</v>
      </c>
      <c r="I85" s="359"/>
      <c r="J85" s="360"/>
      <c r="K85" s="360"/>
      <c r="L85" s="361"/>
      <c r="U85" s="196"/>
      <c r="V85" s="92"/>
      <c r="AH85" s="9" t="s">
        <v>41</v>
      </c>
      <c r="AI85" s="70">
        <f>G87+G88</f>
        <v>0</v>
      </c>
      <c r="AJ85" s="70">
        <f>V87+V88</f>
        <v>0</v>
      </c>
      <c r="AK85" s="88">
        <f>IFERROR(AI85/AJ85,0)</f>
        <v>0</v>
      </c>
      <c r="AL85" s="26"/>
    </row>
    <row r="86" spans="3:38">
      <c r="C86" s="154" t="s">
        <v>348</v>
      </c>
      <c r="D86" s="316">
        <f>Y69</f>
        <v>0</v>
      </c>
      <c r="E86" s="317"/>
      <c r="F86" s="318"/>
      <c r="G86" s="153">
        <f>D86</f>
        <v>0</v>
      </c>
      <c r="H86" s="22">
        <f>IFERROR(G86/V86,1)</f>
        <v>1</v>
      </c>
      <c r="I86" s="368"/>
      <c r="J86" s="369"/>
      <c r="K86" s="369"/>
      <c r="L86" s="370"/>
      <c r="U86" s="196">
        <f>G86</f>
        <v>0</v>
      </c>
      <c r="V86" s="89">
        <f>X69</f>
        <v>0</v>
      </c>
      <c r="W86" s="90">
        <v>1.1000000000000001</v>
      </c>
      <c r="X86" s="90">
        <v>0.9</v>
      </c>
      <c r="Y86" s="90">
        <v>0</v>
      </c>
      <c r="Z86" s="86" t="s">
        <v>341</v>
      </c>
      <c r="AH86" s="9" t="s">
        <v>43</v>
      </c>
      <c r="AI86" s="70">
        <f>G91</f>
        <v>0</v>
      </c>
      <c r="AJ86" s="70">
        <f>V91</f>
        <v>0</v>
      </c>
      <c r="AK86" s="88">
        <f>IFERROR(AI86/AJ86,0)</f>
        <v>0</v>
      </c>
      <c r="AL86" s="26"/>
    </row>
    <row r="87" spans="3:38" ht="15" customHeight="1">
      <c r="C87" s="154" t="s">
        <v>349</v>
      </c>
      <c r="D87" s="316">
        <f>AE48</f>
        <v>0</v>
      </c>
      <c r="E87" s="317"/>
      <c r="F87" s="318"/>
      <c r="G87" s="153">
        <f t="shared" ref="G87:G93" si="15">D87+E87+F87</f>
        <v>0</v>
      </c>
      <c r="H87" s="402">
        <f>V87</f>
        <v>0</v>
      </c>
      <c r="I87" s="359"/>
      <c r="J87" s="360"/>
      <c r="K87" s="360"/>
      <c r="L87" s="361"/>
      <c r="U87" s="196">
        <f>G87+G88</f>
        <v>0</v>
      </c>
      <c r="V87" s="70">
        <f>(G87+G88)</f>
        <v>0</v>
      </c>
      <c r="W87" s="93" t="s">
        <v>350</v>
      </c>
      <c r="X87" s="93" t="s">
        <v>351</v>
      </c>
      <c r="Y87" s="93" t="s">
        <v>352</v>
      </c>
      <c r="Z87" s="86" t="s">
        <v>341</v>
      </c>
      <c r="AH87" s="26"/>
      <c r="AI87" s="70">
        <f>SUM(AI80:AI86)</f>
        <v>0</v>
      </c>
      <c r="AJ87" s="26"/>
      <c r="AK87" s="88"/>
      <c r="AL87" s="26"/>
    </row>
    <row r="88" spans="3:38" ht="15" customHeight="1">
      <c r="C88" s="154" t="s">
        <v>353</v>
      </c>
      <c r="D88" s="319">
        <f>AE58</f>
        <v>0</v>
      </c>
      <c r="E88" s="320"/>
      <c r="F88" s="321"/>
      <c r="G88" s="153">
        <f t="shared" si="15"/>
        <v>0</v>
      </c>
      <c r="H88" s="403"/>
      <c r="I88" s="365"/>
      <c r="J88" s="366"/>
      <c r="K88" s="366"/>
      <c r="L88" s="367"/>
      <c r="U88" s="196"/>
      <c r="V88" s="70"/>
      <c r="W88" s="93" t="s">
        <v>350</v>
      </c>
      <c r="X88" s="93" t="s">
        <v>351</v>
      </c>
      <c r="Y88" s="93" t="s">
        <v>352</v>
      </c>
      <c r="Z88" s="86" t="s">
        <v>341</v>
      </c>
    </row>
    <row r="89" spans="3:38">
      <c r="C89" s="107" t="str">
        <f>"B1-B5, Drift og vedlikehold, "&amp;'Generelt om prosjektet'!C24&amp;" år"</f>
        <v>B1-B5, Drift og vedlikehold, 50 år</v>
      </c>
      <c r="D89" s="140"/>
      <c r="E89" s="140"/>
      <c r="F89" s="140"/>
      <c r="G89" s="153">
        <f t="shared" si="15"/>
        <v>0</v>
      </c>
      <c r="H89" s="22">
        <f>IFERROR(G89/V89,1)</f>
        <v>1</v>
      </c>
      <c r="I89" s="368"/>
      <c r="J89" s="369"/>
      <c r="K89" s="369"/>
      <c r="L89" s="370"/>
      <c r="U89" s="196">
        <f>G89</f>
        <v>0</v>
      </c>
      <c r="V89" s="89">
        <f>(SUM(AQ19:AQ24)+SUM(AV19:AV24))/1000</f>
        <v>0</v>
      </c>
      <c r="W89" s="90">
        <v>1.1000000000000001</v>
      </c>
      <c r="X89" s="90">
        <v>0.9</v>
      </c>
      <c r="Y89" s="90">
        <v>0.1</v>
      </c>
      <c r="Z89" s="91">
        <v>0</v>
      </c>
    </row>
    <row r="90" spans="3:38">
      <c r="C90" s="107" t="str">
        <f>"B6: Energi i drift, "&amp;'Generelt om prosjektet'!C24&amp;" år"</f>
        <v>B6: Energi i drift, 50 år</v>
      </c>
      <c r="D90" s="319">
        <f>SUM(AF36:AF39)</f>
        <v>0</v>
      </c>
      <c r="E90" s="320"/>
      <c r="F90" s="321"/>
      <c r="G90" s="153">
        <f t="shared" si="15"/>
        <v>0</v>
      </c>
      <c r="H90" s="22">
        <f>IFERROR(G90/V90,1)</f>
        <v>1</v>
      </c>
      <c r="I90" s="359"/>
      <c r="J90" s="360"/>
      <c r="K90" s="360"/>
      <c r="L90" s="361"/>
      <c r="U90" s="196">
        <f>G90</f>
        <v>0</v>
      </c>
      <c r="V90" s="89">
        <f>AQ50</f>
        <v>0</v>
      </c>
      <c r="W90" s="90">
        <v>1.1000000000000001</v>
      </c>
      <c r="X90" s="90">
        <v>0.9</v>
      </c>
      <c r="Y90" s="90">
        <v>0.1</v>
      </c>
      <c r="Z90" s="91">
        <v>0</v>
      </c>
    </row>
    <row r="91" spans="3:38">
      <c r="C91" s="154" t="s">
        <v>354</v>
      </c>
      <c r="D91" s="156"/>
      <c r="E91" s="156"/>
      <c r="F91" s="156"/>
      <c r="G91" s="153">
        <f t="shared" si="15"/>
        <v>0</v>
      </c>
      <c r="H91" s="22">
        <f>IFERROR(G91/V91,1)</f>
        <v>1</v>
      </c>
      <c r="I91" s="359"/>
      <c r="J91" s="360"/>
      <c r="K91" s="360"/>
      <c r="L91" s="361"/>
      <c r="U91" s="196">
        <f>G91</f>
        <v>0</v>
      </c>
      <c r="V91" s="89">
        <f>(SUM(AR19:AR25)+SUM(AW19:AW25))/1000</f>
        <v>0</v>
      </c>
      <c r="W91" s="90">
        <v>1.1000000000000001</v>
      </c>
      <c r="X91" s="90">
        <v>0.9</v>
      </c>
      <c r="Y91" s="90">
        <v>0.4</v>
      </c>
      <c r="Z91" s="91">
        <v>0</v>
      </c>
    </row>
    <row r="92" spans="3:38">
      <c r="C92" s="154" t="s">
        <v>355</v>
      </c>
      <c r="D92" s="152">
        <f>IF(E44=Nei,AF40,0)</f>
        <v>0</v>
      </c>
      <c r="E92" s="152"/>
      <c r="F92" s="152"/>
      <c r="G92" s="153">
        <f t="shared" si="15"/>
        <v>0</v>
      </c>
      <c r="H92" s="157" t="s">
        <v>341</v>
      </c>
      <c r="I92" s="359"/>
      <c r="J92" s="360"/>
      <c r="K92" s="360"/>
      <c r="L92" s="361"/>
      <c r="U92" s="196"/>
      <c r="V92" s="92"/>
      <c r="W92" s="94"/>
      <c r="X92" s="94"/>
      <c r="Y92" s="94"/>
    </row>
    <row r="93" spans="3:38">
      <c r="C93" s="172" t="s">
        <v>356</v>
      </c>
      <c r="D93" s="165">
        <f>SUM(D80:D92)</f>
        <v>0</v>
      </c>
      <c r="E93" s="165">
        <f>SUM(E80:E92)</f>
        <v>0</v>
      </c>
      <c r="F93" s="165">
        <f>SUM(F80:F92)</f>
        <v>0</v>
      </c>
      <c r="G93" s="165">
        <f t="shared" si="15"/>
        <v>0</v>
      </c>
      <c r="H93" s="210">
        <f>IFERROR(U93/V93,0)</f>
        <v>0</v>
      </c>
      <c r="I93" s="394"/>
      <c r="J93" s="395"/>
      <c r="K93" s="395"/>
      <c r="L93" s="396"/>
      <c r="U93" s="75">
        <f>SUM(U80:U92)</f>
        <v>0</v>
      </c>
      <c r="V93" s="75">
        <f>SUM(V80:V92)</f>
        <v>0</v>
      </c>
    </row>
    <row r="94" spans="3:38">
      <c r="C94" s="109"/>
      <c r="D94" s="109"/>
      <c r="E94" s="109"/>
      <c r="F94" s="109"/>
      <c r="G94" s="109"/>
      <c r="H94" s="109"/>
      <c r="I94" s="109"/>
      <c r="J94" s="109"/>
      <c r="K94" s="109"/>
      <c r="L94" s="109"/>
    </row>
    <row r="95" spans="3:38">
      <c r="C95" s="109"/>
      <c r="D95" s="109"/>
      <c r="E95" s="109"/>
      <c r="F95" s="109"/>
      <c r="G95" s="109"/>
      <c r="H95" s="109"/>
      <c r="I95" s="109"/>
      <c r="J95" s="109"/>
      <c r="K95" s="109"/>
      <c r="L95" s="109"/>
    </row>
    <row r="96" spans="3:38">
      <c r="C96" s="391" t="s">
        <v>357</v>
      </c>
      <c r="D96" s="363" t="str">
        <f>D78</f>
        <v>Tonn CO2 ekv, GWP. Klimagassutslippene er oppgit uten hensyn til binding av biogent karbon.</v>
      </c>
      <c r="E96" s="364"/>
      <c r="F96" s="364"/>
      <c r="G96" s="364"/>
      <c r="H96" s="393"/>
      <c r="I96" s="142" t="s">
        <v>90</v>
      </c>
      <c r="J96" s="158"/>
      <c r="K96" s="143"/>
      <c r="L96" s="144"/>
    </row>
    <row r="97" spans="3:24" ht="30" customHeight="1">
      <c r="C97" s="392"/>
      <c r="D97" s="145" t="s">
        <v>332</v>
      </c>
      <c r="E97" s="146" t="s">
        <v>156</v>
      </c>
      <c r="F97" s="146" t="s">
        <v>157</v>
      </c>
      <c r="G97" s="312" t="s">
        <v>183</v>
      </c>
      <c r="H97" s="313"/>
      <c r="I97" s="148"/>
      <c r="J97" s="159"/>
      <c r="K97" s="149"/>
      <c r="L97" s="150"/>
    </row>
    <row r="98" spans="3:24">
      <c r="C98" s="154" t="s">
        <v>358</v>
      </c>
      <c r="D98" s="322"/>
      <c r="E98" s="323"/>
      <c r="F98" s="152"/>
      <c r="G98" s="314">
        <f>D98</f>
        <v>0</v>
      </c>
      <c r="H98" s="315"/>
      <c r="I98" s="322"/>
      <c r="J98" s="379"/>
      <c r="K98" s="379"/>
      <c r="L98" s="323"/>
    </row>
    <row r="99" spans="3:24" ht="30" customHeight="1">
      <c r="C99" s="107" t="s">
        <v>46</v>
      </c>
      <c r="D99" s="310" t="str">
        <f ca="1">IF(AX32&gt;0,"Beregnet med "&amp;AX32&amp;" års 'restlevetid' til beregningsperioden på "&amp;'Generelt om prosjektet'!C24&amp;" år","")</f>
        <v/>
      </c>
      <c r="E99" s="311"/>
      <c r="F99" s="160">
        <f ca="1">SUM(AX33:BA33)/1000</f>
        <v>0</v>
      </c>
      <c r="G99" s="314">
        <f ca="1">F99</f>
        <v>0</v>
      </c>
      <c r="H99" s="315"/>
      <c r="I99" s="322"/>
      <c r="J99" s="379"/>
      <c r="K99" s="379"/>
      <c r="L99" s="323"/>
      <c r="V99" s="2"/>
    </row>
    <row r="100" spans="3:24">
      <c r="C100" s="380" t="s">
        <v>583</v>
      </c>
      <c r="D100" s="381"/>
      <c r="E100" s="381"/>
      <c r="F100" s="381"/>
      <c r="G100" s="381"/>
      <c r="H100" s="381"/>
      <c r="I100" s="381"/>
      <c r="J100" s="381"/>
      <c r="K100" s="381"/>
      <c r="L100" s="382"/>
    </row>
    <row r="101" spans="3:24">
      <c r="C101" s="383"/>
      <c r="D101" s="384"/>
      <c r="E101" s="384"/>
      <c r="F101" s="384"/>
      <c r="G101" s="384"/>
      <c r="H101" s="384"/>
      <c r="I101" s="384"/>
      <c r="J101" s="384"/>
      <c r="K101" s="384"/>
      <c r="L101" s="385"/>
    </row>
    <row r="102" spans="3:24">
      <c r="C102" s="383"/>
      <c r="D102" s="384"/>
      <c r="E102" s="384"/>
      <c r="F102" s="384"/>
      <c r="G102" s="384"/>
      <c r="H102" s="384"/>
      <c r="I102" s="384"/>
      <c r="J102" s="384"/>
      <c r="K102" s="384"/>
      <c r="L102" s="385"/>
    </row>
    <row r="103" spans="3:24">
      <c r="C103" s="386"/>
      <c r="D103" s="387"/>
      <c r="E103" s="387"/>
      <c r="F103" s="387"/>
      <c r="G103" s="387"/>
      <c r="H103" s="387"/>
      <c r="I103" s="387"/>
      <c r="J103" s="387"/>
      <c r="K103" s="387"/>
      <c r="L103" s="388"/>
    </row>
    <row r="107" spans="3:24" ht="24.9">
      <c r="C107" s="23" t="str">
        <f>"Alternativ 4: Resultat. B6: Energi i drift, "&amp;'Generelt om prosjektet'!C24&amp;" år, ulike utslippsfaktorer for energi"</f>
        <v>Alternativ 4: Resultat. B6: Energi i drift, 50 år, ulike utslippsfaktorer for energi</v>
      </c>
    </row>
    <row r="108" spans="3:24">
      <c r="C108" s="109"/>
      <c r="D108" s="109"/>
      <c r="E108" s="109"/>
      <c r="F108" s="109"/>
      <c r="G108" s="109"/>
      <c r="H108" s="109"/>
      <c r="I108" s="109"/>
    </row>
    <row r="109" spans="3:24">
      <c r="C109" s="109"/>
      <c r="D109" s="287" t="s">
        <v>359</v>
      </c>
      <c r="E109" s="287"/>
      <c r="F109" s="287"/>
      <c r="G109" s="109"/>
      <c r="H109" s="109"/>
      <c r="I109" s="109"/>
    </row>
    <row r="110" spans="3:24" ht="24.9">
      <c r="C110" s="118" t="s">
        <v>360</v>
      </c>
      <c r="D110" s="118" t="s">
        <v>361</v>
      </c>
      <c r="E110" s="118" t="s">
        <v>362</v>
      </c>
      <c r="F110" s="118" t="s">
        <v>363</v>
      </c>
      <c r="G110" s="161" t="str">
        <f>"Beregnet utslipp over "&amp;'Generelt om prosjektet'!C24&amp;" år"</f>
        <v>Beregnet utslipp over 50 år</v>
      </c>
      <c r="H110" s="145" t="s">
        <v>164</v>
      </c>
      <c r="I110" s="109"/>
    </row>
    <row r="111" spans="3:24">
      <c r="C111" s="107" t="s">
        <v>364</v>
      </c>
      <c r="D111" s="162">
        <f>Utslippsdata!C77</f>
        <v>1.7747665114285747E-2</v>
      </c>
      <c r="E111" s="162">
        <f>Utslippsdata!C83</f>
        <v>1.4693376033679371E-2</v>
      </c>
      <c r="F111" s="107">
        <f>E37</f>
        <v>0</v>
      </c>
      <c r="G111" s="153">
        <f>(($W$111+$W$114)*D111+$W$112*E111+$W$113*F111)*$W$115/1000</f>
        <v>0</v>
      </c>
      <c r="H111" s="107" t="s">
        <v>365</v>
      </c>
      <c r="I111" s="109"/>
      <c r="V111" s="26" t="s">
        <v>361</v>
      </c>
      <c r="W111" s="70">
        <f>E34</f>
        <v>0</v>
      </c>
      <c r="X111" s="26" t="s">
        <v>366</v>
      </c>
    </row>
    <row r="112" spans="3:24">
      <c r="C112" s="107" t="s">
        <v>367</v>
      </c>
      <c r="D112" s="162">
        <f>Utslippsdata!C76</f>
        <v>0.10462896495714274</v>
      </c>
      <c r="E112" s="162">
        <f>Utslippsdata!C80</f>
        <v>3.8751119274583641E-2</v>
      </c>
      <c r="F112" s="107">
        <f>E37</f>
        <v>0</v>
      </c>
      <c r="G112" s="153">
        <f>(($W$111+$W$114)*D112+$W$112*E112+$W$113*F112)*$W$115/1000</f>
        <v>0</v>
      </c>
      <c r="H112" s="107" t="s">
        <v>365</v>
      </c>
      <c r="I112" s="109"/>
      <c r="V112" s="26" t="s">
        <v>368</v>
      </c>
      <c r="W112" s="70">
        <f>E35</f>
        <v>0</v>
      </c>
      <c r="X112" s="26" t="s">
        <v>366</v>
      </c>
    </row>
    <row r="113" spans="3:27">
      <c r="C113" s="109"/>
      <c r="D113" s="109"/>
      <c r="E113" s="109"/>
      <c r="F113" s="109"/>
      <c r="G113" s="109"/>
      <c r="H113" s="109"/>
      <c r="I113" s="109"/>
      <c r="V113" s="26" t="s">
        <v>369</v>
      </c>
      <c r="W113" s="70">
        <f>E36</f>
        <v>0</v>
      </c>
      <c r="X113" s="26" t="s">
        <v>366</v>
      </c>
    </row>
    <row r="114" spans="3:27">
      <c r="C114" s="109"/>
      <c r="D114" s="287" t="s">
        <v>359</v>
      </c>
      <c r="E114" s="287"/>
      <c r="F114" s="287"/>
      <c r="G114" s="109"/>
      <c r="H114" s="109"/>
      <c r="I114" s="109"/>
      <c r="V114" s="26" t="s">
        <v>370</v>
      </c>
      <c r="W114" s="70">
        <f>E39</f>
        <v>0</v>
      </c>
      <c r="X114" s="26" t="s">
        <v>366</v>
      </c>
    </row>
    <row r="115" spans="3:27" ht="36.9">
      <c r="C115" s="146" t="s">
        <v>371</v>
      </c>
      <c r="D115" s="118" t="s">
        <v>361</v>
      </c>
      <c r="E115" s="118" t="s">
        <v>362</v>
      </c>
      <c r="F115" s="118" t="s">
        <v>363</v>
      </c>
      <c r="G115" s="161" t="str">
        <f>"Beregnet utslipp over "&amp;'Generelt om prosjektet'!C29&amp;" år"</f>
        <v>Beregnet utslipp over  år</v>
      </c>
      <c r="H115" s="145" t="s">
        <v>164</v>
      </c>
      <c r="I115" s="109"/>
      <c r="V115" s="26" t="s">
        <v>372</v>
      </c>
      <c r="W115" s="26">
        <f>'Generelt om prosjektet'!C24</f>
        <v>50</v>
      </c>
      <c r="X115" s="26"/>
    </row>
    <row r="116" spans="3:27">
      <c r="C116" s="107" t="s">
        <v>364</v>
      </c>
      <c r="D116" s="162">
        <f>D111</f>
        <v>1.7747665114285747E-2</v>
      </c>
      <c r="E116" s="162">
        <f>Utslippsdata!C84</f>
        <v>6.5088487419817986E-2</v>
      </c>
      <c r="F116" s="107">
        <f>E37</f>
        <v>0</v>
      </c>
      <c r="G116" s="153">
        <f>(($W$111+$W$114)*D116+$W$112*E116+$W$113*F116)*$W$115/1000</f>
        <v>0</v>
      </c>
      <c r="H116" s="107" t="s">
        <v>365</v>
      </c>
      <c r="I116" s="109"/>
    </row>
    <row r="117" spans="3:27">
      <c r="C117" s="163" t="s">
        <v>373</v>
      </c>
      <c r="D117" s="164">
        <f>D112</f>
        <v>0.10462896495714274</v>
      </c>
      <c r="E117" s="164">
        <f>Utslippsdata!C81</f>
        <v>8.9146230660722248E-2</v>
      </c>
      <c r="F117" s="163">
        <f>E37</f>
        <v>0</v>
      </c>
      <c r="G117" s="165">
        <f>(($W$111+$W$114)*D117+$W$112*E117+$W$113*F117)*$W$115/1000</f>
        <v>0</v>
      </c>
      <c r="H117" s="163" t="s">
        <v>365</v>
      </c>
      <c r="I117" s="109"/>
    </row>
    <row r="118" spans="3:27">
      <c r="C118" s="109"/>
      <c r="D118" s="109"/>
      <c r="E118" s="109"/>
      <c r="F118" s="109"/>
      <c r="G118" s="109"/>
      <c r="H118" s="109"/>
      <c r="I118" s="109"/>
    </row>
    <row r="119" spans="3:27">
      <c r="C119" s="109"/>
      <c r="D119" s="109"/>
      <c r="E119" s="109"/>
      <c r="F119" s="109"/>
      <c r="G119" s="109"/>
      <c r="H119" s="109"/>
      <c r="I119" s="109"/>
    </row>
    <row r="122" spans="3:27" ht="15" customHeight="1"/>
    <row r="123" spans="3:27" ht="15" customHeight="1"/>
    <row r="124" spans="3:27" ht="15" customHeight="1"/>
    <row r="125" spans="3:27">
      <c r="AA125" s="26" t="s">
        <v>268</v>
      </c>
    </row>
    <row r="126" spans="3:27">
      <c r="AA126" s="26" t="s">
        <v>260</v>
      </c>
    </row>
    <row r="127" spans="3:27" ht="27">
      <c r="C127" s="24" t="s">
        <v>427</v>
      </c>
      <c r="D127" s="68"/>
    </row>
    <row r="128" spans="3:27" ht="15" customHeight="1">
      <c r="C128" s="273" t="s">
        <v>375</v>
      </c>
      <c r="D128" s="274" t="s">
        <v>260</v>
      </c>
    </row>
    <row r="130" spans="3:50" ht="14.4" thickBot="1">
      <c r="C130" s="95" t="s">
        <v>376</v>
      </c>
    </row>
    <row r="131" spans="3:50" ht="110.4">
      <c r="C131" s="82" t="s">
        <v>377</v>
      </c>
      <c r="D131" s="83" t="s">
        <v>339</v>
      </c>
      <c r="E131" s="83" t="s">
        <v>378</v>
      </c>
      <c r="F131" s="83" t="s">
        <v>379</v>
      </c>
      <c r="G131" s="83" t="s">
        <v>168</v>
      </c>
      <c r="H131" s="83" t="s">
        <v>346</v>
      </c>
      <c r="I131" s="83" t="s">
        <v>347</v>
      </c>
      <c r="J131" s="83" t="s">
        <v>348</v>
      </c>
      <c r="K131" s="83" t="s">
        <v>349</v>
      </c>
      <c r="L131" s="83" t="s">
        <v>353</v>
      </c>
      <c r="M131" s="83" t="s">
        <v>380</v>
      </c>
      <c r="N131" s="83" t="s">
        <v>381</v>
      </c>
      <c r="O131" s="83" t="s">
        <v>358</v>
      </c>
      <c r="P131" s="83" t="s">
        <v>171</v>
      </c>
      <c r="Q131" s="83" t="s">
        <v>382</v>
      </c>
      <c r="R131" s="168" t="s">
        <v>383</v>
      </c>
      <c r="S131" s="168" t="s">
        <v>383</v>
      </c>
      <c r="T131" s="168" t="s">
        <v>383</v>
      </c>
      <c r="U131" s="166"/>
      <c r="AK131" s="96">
        <v>1</v>
      </c>
      <c r="AL131" s="97">
        <v>2</v>
      </c>
      <c r="AM131" s="97">
        <v>3</v>
      </c>
      <c r="AN131" s="97">
        <v>4</v>
      </c>
      <c r="AO131" s="97">
        <v>5</v>
      </c>
      <c r="AP131" s="97">
        <v>6</v>
      </c>
      <c r="AQ131" s="97">
        <v>7</v>
      </c>
      <c r="AR131" s="97">
        <v>8</v>
      </c>
      <c r="AS131" s="97">
        <v>9</v>
      </c>
      <c r="AT131" s="97">
        <v>10</v>
      </c>
      <c r="AU131" s="97">
        <v>11</v>
      </c>
      <c r="AV131" s="97">
        <v>12</v>
      </c>
      <c r="AW131" s="97">
        <v>13</v>
      </c>
      <c r="AX131" s="98"/>
    </row>
    <row r="132" spans="3:50">
      <c r="C132" s="26" t="s">
        <v>384</v>
      </c>
      <c r="D132" s="169"/>
      <c r="E132" s="169"/>
      <c r="F132" s="169"/>
      <c r="G132" s="169"/>
      <c r="H132" s="169"/>
      <c r="I132" s="169"/>
      <c r="J132" s="169"/>
      <c r="K132" s="169"/>
      <c r="L132" s="169"/>
      <c r="M132" s="169"/>
      <c r="N132" s="169"/>
      <c r="O132" s="169"/>
      <c r="P132" s="169"/>
      <c r="Q132" s="169"/>
      <c r="R132" s="169"/>
      <c r="S132" s="169"/>
      <c r="T132" s="169"/>
      <c r="U132" s="166"/>
      <c r="AK132" s="99" t="s">
        <v>385</v>
      </c>
      <c r="AL132" s="25" t="s">
        <v>386</v>
      </c>
      <c r="AM132" s="25" t="s">
        <v>159</v>
      </c>
      <c r="AN132" s="25" t="s">
        <v>4</v>
      </c>
      <c r="AO132" s="25" t="s">
        <v>164</v>
      </c>
      <c r="AW132" s="25" t="s">
        <v>387</v>
      </c>
      <c r="AX132" s="100"/>
    </row>
    <row r="133" spans="3:50" ht="14.1">
      <c r="C133" s="26" t="s">
        <v>388</v>
      </c>
      <c r="D133" s="169"/>
      <c r="E133" s="169"/>
      <c r="F133" s="169"/>
      <c r="G133" s="169"/>
      <c r="H133" s="169"/>
      <c r="I133" s="169"/>
      <c r="J133" s="169"/>
      <c r="K133" s="169"/>
      <c r="L133" s="169"/>
      <c r="M133" s="169"/>
      <c r="N133" s="169"/>
      <c r="O133" s="169"/>
      <c r="P133" s="169"/>
      <c r="Q133" s="169"/>
      <c r="R133" s="169"/>
      <c r="S133" s="169"/>
      <c r="T133" s="169"/>
      <c r="U133" s="166"/>
      <c r="AK133" s="101" t="s">
        <v>173</v>
      </c>
      <c r="AL133" s="26"/>
      <c r="AM133" s="26"/>
      <c r="AN133" s="26"/>
      <c r="AW133" s="95" t="s">
        <v>389</v>
      </c>
      <c r="AX133" s="100"/>
    </row>
    <row r="134" spans="3:50">
      <c r="C134" s="26" t="s">
        <v>390</v>
      </c>
      <c r="D134" s="37"/>
      <c r="E134" s="37"/>
      <c r="F134" s="37"/>
      <c r="G134" s="37"/>
      <c r="H134" s="37"/>
      <c r="I134" s="37"/>
      <c r="J134" s="37"/>
      <c r="K134" s="37"/>
      <c r="L134" s="37"/>
      <c r="M134" s="37"/>
      <c r="N134" s="37"/>
      <c r="O134" s="37"/>
      <c r="P134" s="37"/>
      <c r="Q134" s="37"/>
      <c r="R134" s="37"/>
      <c r="S134" s="37"/>
      <c r="T134" s="37"/>
      <c r="AK134" s="101" t="s">
        <v>249</v>
      </c>
      <c r="AL134" s="26" t="s">
        <v>249</v>
      </c>
      <c r="AM134" s="26" t="s">
        <v>391</v>
      </c>
      <c r="AN134" s="26" t="s">
        <v>205</v>
      </c>
      <c r="AO134" s="58" t="s">
        <v>301</v>
      </c>
      <c r="AW134" s="26" t="s">
        <v>249</v>
      </c>
      <c r="AX134" s="100"/>
    </row>
    <row r="135" spans="3:50">
      <c r="C135" s="26" t="s">
        <v>392</v>
      </c>
      <c r="D135" s="37"/>
      <c r="E135" s="37"/>
      <c r="F135" s="37"/>
      <c r="G135" s="37"/>
      <c r="H135" s="37"/>
      <c r="I135" s="37"/>
      <c r="J135" s="37"/>
      <c r="K135" s="37"/>
      <c r="L135" s="37"/>
      <c r="M135" s="37"/>
      <c r="N135" s="37"/>
      <c r="O135" s="37"/>
      <c r="P135" s="37"/>
      <c r="Q135" s="37"/>
      <c r="R135" s="37"/>
      <c r="S135" s="37"/>
      <c r="T135" s="37"/>
      <c r="AK135" s="101" t="s">
        <v>239</v>
      </c>
      <c r="AL135" s="26" t="s">
        <v>239</v>
      </c>
      <c r="AM135" s="26" t="s">
        <v>393</v>
      </c>
      <c r="AN135" s="26" t="s">
        <v>209</v>
      </c>
      <c r="AO135" s="58" t="s">
        <v>301</v>
      </c>
      <c r="AR135" s="48" t="s">
        <v>394</v>
      </c>
      <c r="AW135" s="26" t="s">
        <v>239</v>
      </c>
      <c r="AX135" s="100"/>
    </row>
    <row r="136" spans="3:50">
      <c r="C136" s="26" t="s">
        <v>395</v>
      </c>
      <c r="D136" s="37"/>
      <c r="E136" s="37"/>
      <c r="F136" s="37"/>
      <c r="G136" s="37"/>
      <c r="H136" s="37"/>
      <c r="I136" s="37"/>
      <c r="J136" s="37"/>
      <c r="K136" s="37"/>
      <c r="L136" s="37"/>
      <c r="M136" s="37"/>
      <c r="N136" s="37"/>
      <c r="O136" s="37"/>
      <c r="P136" s="37"/>
      <c r="Q136" s="37"/>
      <c r="R136" s="37"/>
      <c r="S136" s="37"/>
      <c r="T136" s="37"/>
      <c r="AK136" s="101" t="s">
        <v>253</v>
      </c>
      <c r="AL136" s="26" t="s">
        <v>253</v>
      </c>
      <c r="AM136" s="26" t="s">
        <v>396</v>
      </c>
      <c r="AN136" s="26" t="s">
        <v>213</v>
      </c>
      <c r="AO136" s="58" t="s">
        <v>301</v>
      </c>
      <c r="AW136" s="26" t="s">
        <v>253</v>
      </c>
      <c r="AX136" s="100"/>
    </row>
    <row r="137" spans="3:50">
      <c r="C137" s="26" t="s">
        <v>397</v>
      </c>
      <c r="D137" s="37"/>
      <c r="E137" s="37"/>
      <c r="F137" s="37"/>
      <c r="G137" s="37"/>
      <c r="H137" s="37"/>
      <c r="I137" s="37"/>
      <c r="J137" s="37"/>
      <c r="K137" s="37"/>
      <c r="L137" s="37"/>
      <c r="M137" s="37"/>
      <c r="N137" s="37"/>
      <c r="O137" s="37"/>
      <c r="P137" s="37"/>
      <c r="Q137" s="37"/>
      <c r="R137" s="37"/>
      <c r="S137" s="37"/>
      <c r="T137" s="37"/>
      <c r="AK137" s="101" t="s">
        <v>270</v>
      </c>
      <c r="AL137" s="26" t="s">
        <v>270</v>
      </c>
      <c r="AM137" s="26" t="s">
        <v>398</v>
      </c>
      <c r="AN137" s="26" t="s">
        <v>219</v>
      </c>
      <c r="AO137" s="58"/>
      <c r="AQ137" s="25" t="s">
        <v>399</v>
      </c>
      <c r="AR137" s="25" t="s">
        <v>400</v>
      </c>
      <c r="AS137" s="25" t="s">
        <v>400</v>
      </c>
      <c r="AW137" s="26" t="s">
        <v>270</v>
      </c>
      <c r="AX137" s="100"/>
    </row>
    <row r="138" spans="3:50">
      <c r="C138" s="26" t="s">
        <v>401</v>
      </c>
      <c r="D138" s="37"/>
      <c r="E138" s="37"/>
      <c r="F138" s="37"/>
      <c r="G138" s="37"/>
      <c r="H138" s="37"/>
      <c r="I138" s="37"/>
      <c r="J138" s="37"/>
      <c r="K138" s="37"/>
      <c r="L138" s="37"/>
      <c r="M138" s="37"/>
      <c r="N138" s="37"/>
      <c r="O138" s="37"/>
      <c r="P138" s="37"/>
      <c r="Q138" s="37"/>
      <c r="R138" s="37"/>
      <c r="S138" s="37"/>
      <c r="T138" s="37"/>
      <c r="AK138" s="101" t="s">
        <v>258</v>
      </c>
      <c r="AL138" s="26" t="s">
        <v>258</v>
      </c>
      <c r="AM138" s="26" t="s">
        <v>402</v>
      </c>
      <c r="AN138" s="26" t="s">
        <v>230</v>
      </c>
      <c r="AO138" s="58" t="s">
        <v>301</v>
      </c>
      <c r="AW138" s="26" t="s">
        <v>258</v>
      </c>
      <c r="AX138" s="100"/>
    </row>
    <row r="139" spans="3:50">
      <c r="C139" s="26" t="s">
        <v>403</v>
      </c>
      <c r="D139" s="37"/>
      <c r="E139" s="37"/>
      <c r="F139" s="37"/>
      <c r="G139" s="37"/>
      <c r="H139" s="37"/>
      <c r="I139" s="37"/>
      <c r="J139" s="37"/>
      <c r="K139" s="37"/>
      <c r="L139" s="37"/>
      <c r="M139" s="37"/>
      <c r="N139" s="37"/>
      <c r="O139" s="37"/>
      <c r="P139" s="37"/>
      <c r="Q139" s="37"/>
      <c r="R139" s="37"/>
      <c r="S139" s="37"/>
      <c r="T139" s="37"/>
      <c r="AK139" s="101" t="s">
        <v>232</v>
      </c>
      <c r="AL139" s="26" t="s">
        <v>404</v>
      </c>
      <c r="AM139" s="26" t="s">
        <v>405</v>
      </c>
      <c r="AN139" s="26" t="s">
        <v>237</v>
      </c>
      <c r="AO139" s="58" t="s">
        <v>301</v>
      </c>
      <c r="AW139" s="26" t="s">
        <v>404</v>
      </c>
      <c r="AX139" s="100"/>
    </row>
    <row r="140" spans="3:50">
      <c r="C140" s="167" t="s">
        <v>383</v>
      </c>
      <c r="D140" s="37"/>
      <c r="E140" s="37"/>
      <c r="F140" s="37"/>
      <c r="G140" s="37"/>
      <c r="H140" s="37"/>
      <c r="I140" s="37"/>
      <c r="J140" s="37"/>
      <c r="K140" s="37"/>
      <c r="L140" s="37"/>
      <c r="M140" s="37"/>
      <c r="N140" s="37"/>
      <c r="O140" s="37"/>
      <c r="P140" s="37"/>
      <c r="Q140" s="37"/>
      <c r="R140" s="37"/>
      <c r="S140" s="37"/>
      <c r="T140" s="37"/>
      <c r="AK140" s="101" t="s">
        <v>244</v>
      </c>
      <c r="AL140" s="26"/>
      <c r="AM140" s="26" t="s">
        <v>406</v>
      </c>
      <c r="AN140" s="26" t="s">
        <v>242</v>
      </c>
      <c r="AO140" s="58" t="s">
        <v>301</v>
      </c>
      <c r="AW140" s="102" t="s">
        <v>239</v>
      </c>
      <c r="AX140" s="100"/>
    </row>
    <row r="141" spans="3:50">
      <c r="C141" s="167" t="s">
        <v>383</v>
      </c>
      <c r="D141" s="37"/>
      <c r="E141" s="37"/>
      <c r="F141" s="37"/>
      <c r="G141" s="37"/>
      <c r="H141" s="37"/>
      <c r="I141" s="37"/>
      <c r="J141" s="37"/>
      <c r="K141" s="37"/>
      <c r="L141" s="37"/>
      <c r="M141" s="37"/>
      <c r="N141" s="37"/>
      <c r="O141" s="37"/>
      <c r="P141" s="37"/>
      <c r="Q141" s="37"/>
      <c r="R141" s="37"/>
      <c r="S141" s="37"/>
      <c r="T141" s="37"/>
      <c r="AK141" s="101" t="s">
        <v>271</v>
      </c>
      <c r="AL141" s="26"/>
      <c r="AM141" s="26" t="s">
        <v>407</v>
      </c>
      <c r="AN141" s="26" t="s">
        <v>247</v>
      </c>
      <c r="AO141" s="58" t="s">
        <v>301</v>
      </c>
      <c r="AX141" s="100"/>
    </row>
    <row r="142" spans="3:50">
      <c r="C142" s="167" t="s">
        <v>383</v>
      </c>
      <c r="D142" s="37"/>
      <c r="E142" s="37"/>
      <c r="F142" s="37"/>
      <c r="G142" s="37"/>
      <c r="H142" s="37"/>
      <c r="I142" s="37"/>
      <c r="J142" s="37"/>
      <c r="K142" s="37"/>
      <c r="L142" s="37"/>
      <c r="M142" s="37"/>
      <c r="N142" s="37"/>
      <c r="O142" s="37"/>
      <c r="P142" s="37"/>
      <c r="Q142" s="37"/>
      <c r="R142" s="37"/>
      <c r="S142" s="37"/>
      <c r="T142" s="37"/>
      <c r="AK142" s="101" t="s">
        <v>263</v>
      </c>
      <c r="AL142" s="26"/>
      <c r="AM142" s="26" t="s">
        <v>408</v>
      </c>
      <c r="AN142" s="26" t="s">
        <v>251</v>
      </c>
      <c r="AO142" s="58" t="s">
        <v>301</v>
      </c>
      <c r="AW142" s="26" t="s">
        <v>239</v>
      </c>
      <c r="AX142" s="100"/>
    </row>
    <row r="143" spans="3:50" ht="14.1">
      <c r="C143" s="197" t="s">
        <v>409</v>
      </c>
      <c r="D143" s="197">
        <f t="shared" ref="D143:T143" si="16">SUM(D132:D142)</f>
        <v>0</v>
      </c>
      <c r="E143" s="197">
        <f t="shared" si="16"/>
        <v>0</v>
      </c>
      <c r="F143" s="197">
        <f t="shared" si="16"/>
        <v>0</v>
      </c>
      <c r="G143" s="197">
        <f t="shared" si="16"/>
        <v>0</v>
      </c>
      <c r="H143" s="197">
        <f t="shared" si="16"/>
        <v>0</v>
      </c>
      <c r="I143" s="197">
        <f t="shared" si="16"/>
        <v>0</v>
      </c>
      <c r="J143" s="197">
        <f t="shared" si="16"/>
        <v>0</v>
      </c>
      <c r="K143" s="197">
        <f t="shared" si="16"/>
        <v>0</v>
      </c>
      <c r="L143" s="197">
        <f t="shared" si="16"/>
        <v>0</v>
      </c>
      <c r="M143" s="197">
        <f t="shared" si="16"/>
        <v>0</v>
      </c>
      <c r="N143" s="197">
        <f t="shared" si="16"/>
        <v>0</v>
      </c>
      <c r="O143" s="197">
        <f t="shared" si="16"/>
        <v>0</v>
      </c>
      <c r="P143" s="197">
        <f t="shared" si="16"/>
        <v>0</v>
      </c>
      <c r="Q143" s="197">
        <f t="shared" si="16"/>
        <v>0</v>
      </c>
      <c r="R143" s="197">
        <f t="shared" si="16"/>
        <v>0</v>
      </c>
      <c r="S143" s="197">
        <f t="shared" si="16"/>
        <v>0</v>
      </c>
      <c r="T143" s="197">
        <f t="shared" si="16"/>
        <v>0</v>
      </c>
      <c r="AK143" s="101" t="s">
        <v>267</v>
      </c>
      <c r="AL143" s="26" t="s">
        <v>410</v>
      </c>
      <c r="AM143" s="26" t="s">
        <v>411</v>
      </c>
      <c r="AN143" s="26" t="s">
        <v>219</v>
      </c>
      <c r="AO143" s="58"/>
      <c r="AQ143" s="25" t="s">
        <v>399</v>
      </c>
      <c r="AR143" s="25" t="s">
        <v>400</v>
      </c>
      <c r="AW143" s="26" t="s">
        <v>410</v>
      </c>
      <c r="AX143" s="100"/>
    </row>
    <row r="144" spans="3:50">
      <c r="I144" s="48"/>
      <c r="AK144" s="101" t="s">
        <v>277</v>
      </c>
      <c r="AL144" s="26" t="s">
        <v>410</v>
      </c>
      <c r="AM144" s="26" t="s">
        <v>412</v>
      </c>
      <c r="AN144" s="26" t="s">
        <v>219</v>
      </c>
      <c r="AO144" s="58"/>
      <c r="AQ144" s="25" t="s">
        <v>399</v>
      </c>
      <c r="AR144" s="25" t="s">
        <v>400</v>
      </c>
      <c r="AW144" s="26" t="s">
        <v>410</v>
      </c>
      <c r="AX144" s="100"/>
    </row>
    <row r="145" spans="3:50">
      <c r="AK145" s="101" t="s">
        <v>413</v>
      </c>
      <c r="AL145" s="26"/>
      <c r="AM145" s="26" t="s">
        <v>414</v>
      </c>
      <c r="AN145" s="26" t="s">
        <v>219</v>
      </c>
      <c r="AO145" s="58"/>
      <c r="AQ145" s="25" t="s">
        <v>399</v>
      </c>
      <c r="AR145" s="25" t="s">
        <v>400</v>
      </c>
      <c r="AW145" s="25" t="s">
        <v>415</v>
      </c>
      <c r="AX145" s="100"/>
    </row>
    <row r="146" spans="3:50" ht="14.1">
      <c r="C146" s="95" t="s">
        <v>416</v>
      </c>
      <c r="AK146" s="99"/>
      <c r="AX146" s="100"/>
    </row>
    <row r="147" spans="3:50" ht="110.4">
      <c r="C147" s="30" t="s">
        <v>377</v>
      </c>
      <c r="D147" s="83" t="s">
        <v>339</v>
      </c>
      <c r="E147" s="83" t="s">
        <v>378</v>
      </c>
      <c r="F147" s="83" t="s">
        <v>379</v>
      </c>
      <c r="G147" s="83" t="s">
        <v>168</v>
      </c>
      <c r="H147" s="83" t="s">
        <v>346</v>
      </c>
      <c r="I147" s="83" t="s">
        <v>347</v>
      </c>
      <c r="J147" s="83" t="s">
        <v>348</v>
      </c>
      <c r="K147" s="83" t="s">
        <v>349</v>
      </c>
      <c r="L147" s="83" t="s">
        <v>353</v>
      </c>
      <c r="M147" s="83" t="s">
        <v>380</v>
      </c>
      <c r="N147" s="83" t="s">
        <v>381</v>
      </c>
      <c r="O147" s="83" t="s">
        <v>358</v>
      </c>
      <c r="P147" s="83" t="s">
        <v>171</v>
      </c>
      <c r="Q147" s="83" t="s">
        <v>382</v>
      </c>
      <c r="R147" s="168" t="s">
        <v>383</v>
      </c>
      <c r="S147" s="168" t="s">
        <v>383</v>
      </c>
      <c r="T147" s="168" t="s">
        <v>383</v>
      </c>
      <c r="AK147" s="99" t="str">
        <f>AK133</f>
        <v>Velg arealtype</v>
      </c>
      <c r="AX147" s="100"/>
    </row>
    <row r="148" spans="3:50">
      <c r="C148" s="26" t="s">
        <v>384</v>
      </c>
      <c r="D148" s="169"/>
      <c r="E148" s="169"/>
      <c r="F148" s="169"/>
      <c r="G148" s="169"/>
      <c r="H148" s="169"/>
      <c r="I148" s="169"/>
      <c r="J148" s="169"/>
      <c r="K148" s="169"/>
      <c r="L148" s="169"/>
      <c r="M148" s="169"/>
      <c r="N148" s="169"/>
      <c r="O148" s="169"/>
      <c r="P148" s="169"/>
      <c r="Q148" s="169"/>
      <c r="R148" s="169"/>
      <c r="S148" s="169"/>
      <c r="T148" s="169"/>
      <c r="AK148" s="101" t="s">
        <v>146</v>
      </c>
      <c r="AL148" s="26" t="s">
        <v>417</v>
      </c>
      <c r="AM148" s="26" t="s">
        <v>418</v>
      </c>
      <c r="AN148" s="26" t="s">
        <v>219</v>
      </c>
      <c r="AO148" s="58"/>
      <c r="AQ148" s="25" t="s">
        <v>399</v>
      </c>
      <c r="AR148" s="25" t="s">
        <v>400</v>
      </c>
      <c r="AW148" s="26" t="s">
        <v>417</v>
      </c>
      <c r="AX148" s="100"/>
    </row>
    <row r="149" spans="3:50">
      <c r="C149" s="26" t="s">
        <v>388</v>
      </c>
      <c r="D149" s="169"/>
      <c r="E149" s="169"/>
      <c r="F149" s="169"/>
      <c r="G149" s="169"/>
      <c r="H149" s="169"/>
      <c r="I149" s="169"/>
      <c r="J149" s="169"/>
      <c r="K149" s="169"/>
      <c r="L149" s="169"/>
      <c r="M149" s="169"/>
      <c r="N149" s="169"/>
      <c r="O149" s="169"/>
      <c r="P149" s="169"/>
      <c r="Q149" s="169"/>
      <c r="R149" s="169"/>
      <c r="S149" s="169"/>
      <c r="T149" s="169"/>
      <c r="AK149" s="101" t="s">
        <v>144</v>
      </c>
      <c r="AL149" s="26" t="s">
        <v>419</v>
      </c>
      <c r="AM149" s="26" t="s">
        <v>420</v>
      </c>
      <c r="AN149" s="26" t="s">
        <v>257</v>
      </c>
      <c r="AO149" s="58" t="s">
        <v>301</v>
      </c>
      <c r="AW149" s="26" t="s">
        <v>419</v>
      </c>
      <c r="AX149" s="100"/>
    </row>
    <row r="150" spans="3:50">
      <c r="C150" s="26" t="s">
        <v>390</v>
      </c>
      <c r="D150" s="37"/>
      <c r="E150" s="37"/>
      <c r="F150" s="37"/>
      <c r="G150" s="37"/>
      <c r="H150" s="37"/>
      <c r="I150" s="37"/>
      <c r="J150" s="37"/>
      <c r="K150" s="37"/>
      <c r="L150" s="37"/>
      <c r="M150" s="37"/>
      <c r="N150" s="37"/>
      <c r="O150" s="37"/>
      <c r="P150" s="37"/>
      <c r="Q150" s="37"/>
      <c r="R150" s="37"/>
      <c r="S150" s="37"/>
      <c r="T150" s="37"/>
      <c r="AK150" s="101"/>
      <c r="AL150" s="26"/>
      <c r="AM150" s="26"/>
      <c r="AN150" s="26"/>
      <c r="AX150" s="100"/>
    </row>
    <row r="151" spans="3:50" ht="14.1" thickBot="1">
      <c r="C151" s="26" t="s">
        <v>392</v>
      </c>
      <c r="D151" s="37"/>
      <c r="E151" s="37"/>
      <c r="F151" s="37"/>
      <c r="G151" s="37"/>
      <c r="H151" s="37"/>
      <c r="I151" s="37"/>
      <c r="J151" s="37"/>
      <c r="K151" s="37"/>
      <c r="L151" s="37"/>
      <c r="M151" s="37"/>
      <c r="N151" s="37"/>
      <c r="O151" s="37"/>
      <c r="P151" s="37"/>
      <c r="Q151" s="37"/>
      <c r="R151" s="37"/>
      <c r="S151" s="37"/>
      <c r="T151" s="37"/>
      <c r="AK151" s="103" t="s">
        <v>421</v>
      </c>
      <c r="AL151" s="104"/>
      <c r="AM151" s="104"/>
      <c r="AN151" s="104"/>
      <c r="AO151" s="105"/>
      <c r="AP151" s="105"/>
      <c r="AQ151" s="105"/>
      <c r="AR151" s="105"/>
      <c r="AS151" s="105"/>
      <c r="AT151" s="105"/>
      <c r="AU151" s="105"/>
      <c r="AV151" s="105"/>
      <c r="AW151" s="105"/>
      <c r="AX151" s="106"/>
    </row>
    <row r="152" spans="3:50">
      <c r="C152" s="26" t="s">
        <v>395</v>
      </c>
      <c r="D152" s="37"/>
      <c r="E152" s="37"/>
      <c r="F152" s="37"/>
      <c r="G152" s="37"/>
      <c r="H152" s="37"/>
      <c r="I152" s="37"/>
      <c r="J152" s="37"/>
      <c r="K152" s="37"/>
      <c r="L152" s="37"/>
      <c r="M152" s="37"/>
      <c r="N152" s="37"/>
      <c r="O152" s="37"/>
      <c r="P152" s="37"/>
      <c r="Q152" s="37"/>
      <c r="R152" s="37"/>
      <c r="S152" s="37"/>
      <c r="T152" s="37"/>
    </row>
    <row r="153" spans="3:50">
      <c r="C153" s="26" t="s">
        <v>397</v>
      </c>
      <c r="D153" s="37"/>
      <c r="E153" s="37"/>
      <c r="F153" s="37"/>
      <c r="G153" s="37"/>
      <c r="H153" s="37"/>
      <c r="I153" s="37"/>
      <c r="J153" s="37"/>
      <c r="K153" s="37"/>
      <c r="L153" s="37"/>
      <c r="M153" s="37"/>
      <c r="N153" s="37"/>
      <c r="O153" s="37"/>
      <c r="P153" s="37"/>
      <c r="Q153" s="37"/>
      <c r="R153" s="37"/>
      <c r="S153" s="37"/>
      <c r="T153" s="37"/>
    </row>
    <row r="154" spans="3:50">
      <c r="C154" s="26" t="s">
        <v>401</v>
      </c>
      <c r="D154" s="37"/>
      <c r="E154" s="37"/>
      <c r="F154" s="37"/>
      <c r="G154" s="37"/>
      <c r="H154" s="37"/>
      <c r="I154" s="37"/>
      <c r="J154" s="37"/>
      <c r="K154" s="37"/>
      <c r="L154" s="37"/>
      <c r="M154" s="37"/>
      <c r="N154" s="37"/>
      <c r="O154" s="37"/>
      <c r="P154" s="37"/>
      <c r="Q154" s="37"/>
      <c r="R154" s="37"/>
      <c r="S154" s="37"/>
      <c r="T154" s="37"/>
    </row>
    <row r="155" spans="3:50">
      <c r="C155" s="26" t="s">
        <v>403</v>
      </c>
      <c r="D155" s="37"/>
      <c r="E155" s="37"/>
      <c r="F155" s="37"/>
      <c r="G155" s="37"/>
      <c r="H155" s="37"/>
      <c r="I155" s="37"/>
      <c r="J155" s="37"/>
      <c r="K155" s="37"/>
      <c r="L155" s="37"/>
      <c r="M155" s="37"/>
      <c r="N155" s="37"/>
      <c r="O155" s="37"/>
      <c r="P155" s="37"/>
      <c r="Q155" s="37"/>
      <c r="R155" s="37"/>
      <c r="S155" s="37"/>
      <c r="T155" s="37"/>
    </row>
    <row r="156" spans="3:50">
      <c r="C156" s="167" t="s">
        <v>383</v>
      </c>
      <c r="D156" s="37"/>
      <c r="E156" s="37"/>
      <c r="F156" s="37"/>
      <c r="G156" s="37"/>
      <c r="H156" s="37"/>
      <c r="I156" s="37"/>
      <c r="J156" s="37"/>
      <c r="K156" s="37"/>
      <c r="L156" s="37"/>
      <c r="M156" s="37"/>
      <c r="N156" s="37"/>
      <c r="O156" s="37"/>
      <c r="P156" s="37"/>
      <c r="Q156" s="37"/>
      <c r="R156" s="37"/>
      <c r="S156" s="37"/>
      <c r="T156" s="37"/>
    </row>
    <row r="157" spans="3:50">
      <c r="C157" s="167" t="s">
        <v>383</v>
      </c>
      <c r="D157" s="37"/>
      <c r="E157" s="37"/>
      <c r="F157" s="37"/>
      <c r="G157" s="37"/>
      <c r="H157" s="37"/>
      <c r="I157" s="37"/>
      <c r="J157" s="37"/>
      <c r="K157" s="37"/>
      <c r="L157" s="37"/>
      <c r="M157" s="37"/>
      <c r="N157" s="37"/>
      <c r="O157" s="37"/>
      <c r="P157" s="37"/>
      <c r="Q157" s="37"/>
      <c r="R157" s="37"/>
      <c r="S157" s="37"/>
      <c r="T157" s="37"/>
    </row>
    <row r="158" spans="3:50">
      <c r="C158" s="167" t="s">
        <v>383</v>
      </c>
      <c r="D158" s="37"/>
      <c r="E158" s="37"/>
      <c r="F158" s="37"/>
      <c r="G158" s="37"/>
      <c r="H158" s="37"/>
      <c r="I158" s="37"/>
      <c r="J158" s="37"/>
      <c r="K158" s="37"/>
      <c r="L158" s="37"/>
      <c r="M158" s="37"/>
      <c r="N158" s="37"/>
      <c r="O158" s="37"/>
      <c r="P158" s="37"/>
      <c r="Q158" s="37"/>
      <c r="R158" s="37"/>
      <c r="S158" s="37"/>
      <c r="T158" s="37"/>
    </row>
    <row r="159" spans="3:50" ht="14.1">
      <c r="C159" s="197" t="s">
        <v>409</v>
      </c>
      <c r="D159" s="197">
        <f t="shared" ref="D159:T159" si="17">SUM(D148:D158)</f>
        <v>0</v>
      </c>
      <c r="E159" s="197">
        <f t="shared" si="17"/>
        <v>0</v>
      </c>
      <c r="F159" s="197">
        <f t="shared" si="17"/>
        <v>0</v>
      </c>
      <c r="G159" s="197">
        <f t="shared" si="17"/>
        <v>0</v>
      </c>
      <c r="H159" s="197">
        <f t="shared" si="17"/>
        <v>0</v>
      </c>
      <c r="I159" s="197">
        <f t="shared" si="17"/>
        <v>0</v>
      </c>
      <c r="J159" s="197">
        <f t="shared" si="17"/>
        <v>0</v>
      </c>
      <c r="K159" s="197">
        <f t="shared" si="17"/>
        <v>0</v>
      </c>
      <c r="L159" s="197">
        <f t="shared" si="17"/>
        <v>0</v>
      </c>
      <c r="M159" s="197">
        <f t="shared" si="17"/>
        <v>0</v>
      </c>
      <c r="N159" s="197">
        <f t="shared" si="17"/>
        <v>0</v>
      </c>
      <c r="O159" s="197">
        <f t="shared" si="17"/>
        <v>0</v>
      </c>
      <c r="P159" s="197">
        <f t="shared" si="17"/>
        <v>0</v>
      </c>
      <c r="Q159" s="197">
        <f t="shared" si="17"/>
        <v>0</v>
      </c>
      <c r="R159" s="197">
        <f t="shared" si="17"/>
        <v>0</v>
      </c>
      <c r="S159" s="197">
        <f t="shared" si="17"/>
        <v>0</v>
      </c>
      <c r="T159" s="197">
        <f t="shared" si="17"/>
        <v>0</v>
      </c>
    </row>
  </sheetData>
  <sheetProtection algorithmName="SHA-512" hashValue="bMJVj12NST7oHlXnyMazmZerZXCxDtr1pCiZZS03V3s2mWsMdBIXI7dzgQnhqvaM/52BePvV1GGatAK3A3kAJA==" saltValue="RqcKscXV8FW2mSeg17T/vQ==" spinCount="100000" sheet="1" objects="1" scenarios="1"/>
  <mergeCells count="92">
    <mergeCell ref="I99:L99"/>
    <mergeCell ref="C100:L103"/>
    <mergeCell ref="D109:F109"/>
    <mergeCell ref="D114:F114"/>
    <mergeCell ref="C96:C97"/>
    <mergeCell ref="D96:H96"/>
    <mergeCell ref="G97:H97"/>
    <mergeCell ref="D98:E98"/>
    <mergeCell ref="G98:H98"/>
    <mergeCell ref="D99:E99"/>
    <mergeCell ref="G99:H99"/>
    <mergeCell ref="I98:L98"/>
    <mergeCell ref="I93:L93"/>
    <mergeCell ref="D86:F86"/>
    <mergeCell ref="I86:L86"/>
    <mergeCell ref="D87:F87"/>
    <mergeCell ref="H87:H88"/>
    <mergeCell ref="I87:L87"/>
    <mergeCell ref="D88:F88"/>
    <mergeCell ref="I88:L88"/>
    <mergeCell ref="I89:L89"/>
    <mergeCell ref="D90:F90"/>
    <mergeCell ref="I90:L90"/>
    <mergeCell ref="I91:L91"/>
    <mergeCell ref="I92:L92"/>
    <mergeCell ref="D85:F85"/>
    <mergeCell ref="I85:L85"/>
    <mergeCell ref="V65:Z65"/>
    <mergeCell ref="F66:J66"/>
    <mergeCell ref="G67:J67"/>
    <mergeCell ref="G68:J68"/>
    <mergeCell ref="G69:J69"/>
    <mergeCell ref="I80:L80"/>
    <mergeCell ref="I81:L81"/>
    <mergeCell ref="I82:L82"/>
    <mergeCell ref="I83:L83"/>
    <mergeCell ref="I84:L84"/>
    <mergeCell ref="C78:C79"/>
    <mergeCell ref="D78:G78"/>
    <mergeCell ref="H78:H79"/>
    <mergeCell ref="F60:J60"/>
    <mergeCell ref="F61:J61"/>
    <mergeCell ref="F62:J62"/>
    <mergeCell ref="F63:J63"/>
    <mergeCell ref="F64:J64"/>
    <mergeCell ref="F65:J65"/>
    <mergeCell ref="F57:J57"/>
    <mergeCell ref="AO36:AT36"/>
    <mergeCell ref="G37:J37"/>
    <mergeCell ref="G38:J38"/>
    <mergeCell ref="G39:J39"/>
    <mergeCell ref="F44:J44"/>
    <mergeCell ref="G36:J36"/>
    <mergeCell ref="H50:J50"/>
    <mergeCell ref="H51:J51"/>
    <mergeCell ref="F54:J54"/>
    <mergeCell ref="F55:J55"/>
    <mergeCell ref="F56:J56"/>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11:O11"/>
    <mergeCell ref="V1:BB1"/>
    <mergeCell ref="C7:O7"/>
    <mergeCell ref="D8:O8"/>
    <mergeCell ref="D9:O9"/>
    <mergeCell ref="D10:O10"/>
    <mergeCell ref="AN16:BB16"/>
    <mergeCell ref="E17:F17"/>
    <mergeCell ref="G17:H17"/>
    <mergeCell ref="I17:J17"/>
    <mergeCell ref="K17:K18"/>
    <mergeCell ref="L17:N17"/>
    <mergeCell ref="AG17:AK17"/>
    <mergeCell ref="AN17:AR17"/>
    <mergeCell ref="AS17:AW17"/>
    <mergeCell ref="AX17:BB17"/>
  </mergeCells>
  <conditionalFormatting sqref="C29:J30">
    <cfRule type="expression" dxfId="67" priority="32">
      <formula>$V$40=0</formula>
    </cfRule>
  </conditionalFormatting>
  <conditionalFormatting sqref="K19:K24">
    <cfRule type="expression" dxfId="66" priority="31">
      <formula>V19=1</formula>
    </cfRule>
  </conditionalFormatting>
  <conditionalFormatting sqref="E19:J19 E20:H21 J20:J21 E22:J22 E23:I24">
    <cfRule type="expression" dxfId="65" priority="29">
      <formula>$W19=0</formula>
    </cfRule>
    <cfRule type="expression" dxfId="64" priority="30">
      <formula>$W19=1</formula>
    </cfRule>
  </conditionalFormatting>
  <conditionalFormatting sqref="M19:N24">
    <cfRule type="expression" dxfId="63" priority="27">
      <formula>$X19=0</formula>
    </cfRule>
    <cfRule type="expression" dxfId="62" priority="28">
      <formula>$X19=1</formula>
    </cfRule>
  </conditionalFormatting>
  <conditionalFormatting sqref="N19:N24">
    <cfRule type="expression" dxfId="61" priority="26">
      <formula>$L19&lt;&gt;""</formula>
    </cfRule>
  </conditionalFormatting>
  <conditionalFormatting sqref="C43:J43 C44:F44 C45:C46">
    <cfRule type="expression" dxfId="60" priority="25">
      <formula>$V$46=0</formula>
    </cfRule>
  </conditionalFormatting>
  <conditionalFormatting sqref="I20:I21">
    <cfRule type="expression" dxfId="59" priority="23">
      <formula>$W20=0</formula>
    </cfRule>
    <cfRule type="expression" dxfId="58" priority="24">
      <formula>$W20=1</formula>
    </cfRule>
  </conditionalFormatting>
  <conditionalFormatting sqref="H85">
    <cfRule type="iconSet" priority="19">
      <iconSet>
        <cfvo type="percent" val="0"/>
        <cfvo type="percent" val="33"/>
        <cfvo type="percent" val="67"/>
      </iconSet>
    </cfRule>
  </conditionalFormatting>
  <conditionalFormatting sqref="J23:J24">
    <cfRule type="expression" dxfId="57" priority="33">
      <formula>$W23=0</formula>
    </cfRule>
    <cfRule type="expression" dxfId="56" priority="34">
      <formula>$W23=1</formula>
    </cfRule>
  </conditionalFormatting>
  <conditionalFormatting sqref="E25:F26">
    <cfRule type="expression" dxfId="55" priority="35">
      <formula>$V$29=0</formula>
    </cfRule>
    <cfRule type="expression" dxfId="54" priority="36">
      <formula>$V$29&gt;0</formula>
    </cfRule>
  </conditionalFormatting>
  <conditionalFormatting sqref="G25:H26">
    <cfRule type="expression" dxfId="53" priority="37">
      <formula>$W$29=0</formula>
    </cfRule>
    <cfRule type="expression" dxfId="52" priority="38">
      <formula>$W$29&gt;0</formula>
    </cfRule>
  </conditionalFormatting>
  <conditionalFormatting sqref="I27:J27">
    <cfRule type="expression" dxfId="51" priority="39">
      <formula>$X$29=0</formula>
    </cfRule>
    <cfRule type="expression" dxfId="50" priority="40">
      <formula>$X$29&gt;0</formula>
    </cfRule>
  </conditionalFormatting>
  <conditionalFormatting sqref="D80:D91">
    <cfRule type="expression" dxfId="49" priority="41">
      <formula>$V$29=0</formula>
    </cfRule>
  </conditionalFormatting>
  <conditionalFormatting sqref="E80:E84 E89 E91">
    <cfRule type="expression" dxfId="48" priority="42">
      <formula>$W$29=0</formula>
    </cfRule>
  </conditionalFormatting>
  <conditionalFormatting sqref="F82:F84 F89 F91">
    <cfRule type="expression" dxfId="47" priority="43">
      <formula>$V$30=0</formula>
    </cfRule>
  </conditionalFormatting>
  <conditionalFormatting sqref="G27:H27">
    <cfRule type="expression" dxfId="46" priority="44">
      <formula>$W$29&gt;0</formula>
    </cfRule>
  </conditionalFormatting>
  <conditionalFormatting sqref="F44:J44">
    <cfRule type="expression" dxfId="45" priority="11">
      <formula>$V$46=0</formula>
    </cfRule>
  </conditionalFormatting>
  <conditionalFormatting sqref="D92">
    <cfRule type="expression" dxfId="44" priority="4">
      <formula>$D$92=0</formula>
    </cfRule>
    <cfRule type="expression" dxfId="43" priority="45">
      <formula>$E$44&lt;&gt;Nei</formula>
    </cfRule>
  </conditionalFormatting>
  <conditionalFormatting sqref="E37">
    <cfRule type="expression" dxfId="42" priority="9">
      <formula>$E$36=""</formula>
    </cfRule>
    <cfRule type="expression" dxfId="41" priority="10">
      <formula>$E$36=0</formula>
    </cfRule>
  </conditionalFormatting>
  <conditionalFormatting sqref="D86:F86">
    <cfRule type="expression" dxfId="40" priority="8">
      <formula>$D$86=0</formula>
    </cfRule>
  </conditionalFormatting>
  <conditionalFormatting sqref="D87:F87">
    <cfRule type="expression" dxfId="39" priority="7">
      <formula>$D$87=0</formula>
    </cfRule>
  </conditionalFormatting>
  <conditionalFormatting sqref="D88:F88">
    <cfRule type="expression" dxfId="38" priority="6">
      <formula>$D$88=0</formula>
    </cfRule>
  </conditionalFormatting>
  <conditionalFormatting sqref="D90:F90">
    <cfRule type="expression" dxfId="37" priority="5">
      <formula>$D$90=0</formula>
    </cfRule>
  </conditionalFormatting>
  <conditionalFormatting sqref="AB4:AC4">
    <cfRule type="expression" dxfId="36" priority="3">
      <formula>$Z$11=0</formula>
    </cfRule>
  </conditionalFormatting>
  <conditionalFormatting sqref="C130:T159">
    <cfRule type="expression" dxfId="35" priority="2">
      <formula>$D$128=$AA$126</formula>
    </cfRule>
  </conditionalFormatting>
  <conditionalFormatting sqref="D81">
    <cfRule type="expression" dxfId="34" priority="1">
      <formula>$E$25+$E$26=0</formula>
    </cfRule>
  </conditionalFormatting>
  <dataValidations count="7">
    <dataValidation type="list" allowBlank="1" showInputMessage="1" showErrorMessage="1" sqref="D128" xr:uid="{817E76F6-2E19-497E-85C6-8E3D98E71A36}">
      <formula1>$AA$125:$AA$126</formula1>
    </dataValidation>
    <dataValidation type="list" allowBlank="1" showInputMessage="1" showErrorMessage="1" sqref="D19:D22" xr:uid="{BEA1A896-56A0-45CA-A9D7-D87F09CB6693}">
      <formula1>$AK$133:$AK$145</formula1>
    </dataValidation>
    <dataValidation type="list" allowBlank="1" showInputMessage="1" showErrorMessage="1" sqref="D23:D24" xr:uid="{95231DF7-B91F-41DE-A33B-289509CBE821}">
      <formula1>$AK$147:$AK$149</formula1>
    </dataValidation>
    <dataValidation type="list" allowBlank="1" showInputMessage="1" showErrorMessage="1" sqref="G50:G51" xr:uid="{ADC69A57-398F-46E7-9061-3F4A4E2E16B8}">
      <formula1>$V$53:$V$56</formula1>
    </dataValidation>
    <dataValidation type="list" allowBlank="1" showInputMessage="1" showErrorMessage="1" sqref="D41" xr:uid="{AACE7A35-4579-4EE6-A6E7-3041C7289A0D}">
      <formula1>$AA$40:$AA$42</formula1>
    </dataValidation>
    <dataValidation type="list" allowBlank="1" showInputMessage="1" showErrorMessage="1" sqref="E44" xr:uid="{5AC7BAB2-A44C-408E-80FC-58314052EDAE}">
      <formula1>$AA$45:$AA$47</formula1>
    </dataValidation>
    <dataValidation type="whole" operator="lessThan" allowBlank="1" showInputMessage="1" showErrorMessage="1" error="Oppgi produsert strøm fra solceller som negativt tall" sqref="E39" xr:uid="{F2A5B106-1048-4270-9776-D2AB013BBA8B}">
      <formula1>1</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1" id="{00C43E1B-CFE2-4BB0-8908-63FA1421698B}">
            <x14:iconSet custom="1">
              <x14:cfvo type="percent">
                <xm:f>0</xm:f>
              </x14:cfvo>
              <x14:cfvo type="num">
                <xm:f>0</xm:f>
              </x14:cfvo>
              <x14:cfvo type="num" gte="0">
                <xm:f>0</xm:f>
              </x14:cfvo>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2" id="{45342D86-2227-495C-97A2-0EB782439878}">
            <x14:iconSet custom="1">
              <x14:cfvo type="percent">
                <xm:f>0</xm:f>
              </x14:cfvo>
              <x14:cfvo type="num">
                <xm:f>0.09</xm:f>
              </x14:cfvo>
              <x14:cfvo type="num">
                <xm:f>0.11</xm:f>
              </x14:cfvo>
              <x14:cfIcon iconSet="3TrafficLights1" iconId="1"/>
              <x14:cfIcon iconSet="3TrafficLights1" iconId="2"/>
              <x14:cfIcon iconSet="3TrafficLights1" iconId="0"/>
            </x14:iconSet>
          </x14:cfRule>
          <xm:sqref>H80</xm:sqref>
        </x14:conditionalFormatting>
        <x14:conditionalFormatting xmlns:xm="http://schemas.microsoft.com/office/excel/2006/main">
          <x14:cfRule type="iconSet" priority="17" id="{CCBCA301-F66E-43D3-8E18-5B2FA038423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H81</xm:sqref>
        </x14:conditionalFormatting>
        <x14:conditionalFormatting xmlns:xm="http://schemas.microsoft.com/office/excel/2006/main">
          <x14:cfRule type="iconSet" priority="18" id="{285C50E5-7D57-4EE2-9CCA-A19827C1FC6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6" id="{B928C4F8-5E6F-4193-8008-60449165BA6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H83</xm:sqref>
        </x14:conditionalFormatting>
        <x14:conditionalFormatting xmlns:xm="http://schemas.microsoft.com/office/excel/2006/main">
          <x14:cfRule type="iconSet" priority="15" id="{95D67DAC-AD74-41BB-B610-5DB8C78D9BF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2" id="{15DF0957-F17C-4EB4-BD59-9038A00DA53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H91</xm:sqref>
        </x14:conditionalFormatting>
        <x14:conditionalFormatting xmlns:xm="http://schemas.microsoft.com/office/excel/2006/main">
          <x14:cfRule type="iconSet" priority="13" id="{B55F1E1D-658E-4B46-A529-D3FD193ED8F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4" id="{8FF13BDA-2E60-4818-8C70-199DC3DB9F1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0" id="{976239FB-BD2F-4B5E-9060-8F4BA9EDAC97}">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A3F8-568C-4CEB-A385-4C5EE52B843F}">
  <sheetPr>
    <pageSetUpPr fitToPage="1"/>
  </sheetPr>
  <dimension ref="C1:BB159"/>
  <sheetViews>
    <sheetView showGridLines="0" zoomScale="85" zoomScaleNormal="85" workbookViewId="0">
      <selection activeCell="C2" sqref="C2"/>
    </sheetView>
  </sheetViews>
  <sheetFormatPr baseColWidth="10" defaultColWidth="9.15625" defaultRowHeight="13.8"/>
  <cols>
    <col min="1" max="1" width="1.68359375" style="25" customWidth="1"/>
    <col min="2" max="2" width="1" style="25" customWidth="1"/>
    <col min="3" max="3" width="64.83984375" style="25" customWidth="1"/>
    <col min="4" max="4" width="35.15625" style="25" customWidth="1"/>
    <col min="5" max="5" width="18.68359375" style="25" customWidth="1"/>
    <col min="6" max="6" width="17.41796875" style="25" customWidth="1"/>
    <col min="7" max="7" width="16.578125" style="25" bestFit="1" customWidth="1"/>
    <col min="8" max="8" width="15.578125" style="25" customWidth="1"/>
    <col min="9" max="9" width="15.15625" style="25" bestFit="1" customWidth="1"/>
    <col min="10" max="10" width="6.15625" style="25" customWidth="1"/>
    <col min="11" max="11" width="11.41796875" style="25" customWidth="1"/>
    <col min="12" max="12" width="30.83984375" style="25" customWidth="1"/>
    <col min="13" max="13" width="6.26171875" style="25" bestFit="1" customWidth="1"/>
    <col min="14" max="14" width="6.15625" style="25" bestFit="1" customWidth="1"/>
    <col min="15" max="15" width="27.41796875" style="25" customWidth="1"/>
    <col min="16" max="16" width="17.41796875" style="25" customWidth="1"/>
    <col min="17" max="17" width="13.83984375" style="25" customWidth="1"/>
    <col min="18" max="18" width="14.68359375" style="25" customWidth="1"/>
    <col min="19" max="20" width="9.15625" style="25" customWidth="1"/>
    <col min="21" max="21" width="3.15625" style="25" hidden="1" customWidth="1"/>
    <col min="22" max="22" width="25" style="25" hidden="1" customWidth="1"/>
    <col min="23" max="23" width="9.15625" style="25" hidden="1" customWidth="1"/>
    <col min="24" max="24" width="13" style="25" hidden="1" customWidth="1"/>
    <col min="25" max="25" width="9.15625" style="25" hidden="1" customWidth="1"/>
    <col min="26" max="26" width="14.41796875" style="25" hidden="1" customWidth="1"/>
    <col min="27" max="27" width="22.83984375" style="25" hidden="1" customWidth="1"/>
    <col min="28" max="30" width="9.15625" style="25" hidden="1" customWidth="1"/>
    <col min="31" max="31" width="29.26171875" style="25" hidden="1" customWidth="1"/>
    <col min="32" max="32" width="31.83984375" style="25" hidden="1" customWidth="1"/>
    <col min="33" max="33" width="32.26171875" style="25" hidden="1" customWidth="1"/>
    <col min="34" max="34" width="18.83984375" style="25" hidden="1" customWidth="1"/>
    <col min="35" max="35" width="37.68359375" style="25" hidden="1" customWidth="1"/>
    <col min="36" max="36" width="9.15625" style="25" hidden="1" customWidth="1"/>
    <col min="37" max="37" width="34.68359375" style="25" hidden="1" customWidth="1"/>
    <col min="38" max="38" width="25.15625" style="25" hidden="1" customWidth="1"/>
    <col min="39" max="39" width="23.83984375" style="25" hidden="1" customWidth="1"/>
    <col min="40" max="40" width="35" style="25" hidden="1" customWidth="1"/>
    <col min="41" max="41" width="20.41796875" style="25" hidden="1" customWidth="1"/>
    <col min="42" max="42" width="9.15625" style="25" hidden="1" customWidth="1"/>
    <col min="43" max="43" width="20.83984375" style="25" hidden="1" customWidth="1"/>
    <col min="44" max="44" width="9.15625" style="25" hidden="1" customWidth="1"/>
    <col min="45" max="45" width="14.15625" style="25" hidden="1" customWidth="1"/>
    <col min="46" max="46" width="19.578125" style="25" hidden="1" customWidth="1"/>
    <col min="47" max="48" width="9.15625" style="25" hidden="1" customWidth="1"/>
    <col min="49" max="49" width="12.578125" style="25" hidden="1" customWidth="1"/>
    <col min="50" max="50" width="12.15625" style="25" hidden="1" customWidth="1"/>
    <col min="51" max="51" width="19.578125" style="25" hidden="1" customWidth="1"/>
    <col min="52" max="52" width="12" style="25" hidden="1" customWidth="1"/>
    <col min="53" max="53" width="9.15625" style="25" hidden="1" customWidth="1"/>
    <col min="54" max="54" width="13" style="25" hidden="1" customWidth="1"/>
    <col min="55" max="16384" width="9.15625" style="25"/>
  </cols>
  <sheetData>
    <row r="1" spans="3:54">
      <c r="V1" s="309" t="s">
        <v>140</v>
      </c>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row>
    <row r="2" spans="3:54" ht="27">
      <c r="C2" s="23" t="str">
        <f>"Alternativ 5: "&amp;D4</f>
        <v xml:space="preserve">Alternativ 5: </v>
      </c>
      <c r="D2" s="24"/>
    </row>
    <row r="3" spans="3:54" ht="15.75" customHeight="1"/>
    <row r="4" spans="3:54" ht="15.75" customHeight="1">
      <c r="C4" s="107" t="s">
        <v>141</v>
      </c>
      <c r="D4" s="108"/>
      <c r="E4" s="109"/>
      <c r="F4" s="109"/>
      <c r="G4" s="109"/>
      <c r="H4" s="109"/>
      <c r="I4" s="109"/>
      <c r="J4" s="109"/>
      <c r="K4" s="109"/>
      <c r="L4" s="109"/>
      <c r="M4" s="109"/>
      <c r="N4" s="109"/>
      <c r="O4" s="109"/>
      <c r="AB4" s="20" t="s">
        <v>54</v>
      </c>
      <c r="AC4" s="20" t="s">
        <v>55</v>
      </c>
    </row>
    <row r="5" spans="3:54" ht="15.75" customHeight="1">
      <c r="C5" s="109"/>
      <c r="D5" s="109"/>
      <c r="E5" s="109"/>
      <c r="F5" s="109"/>
      <c r="G5" s="109"/>
      <c r="H5" s="109"/>
      <c r="I5" s="109"/>
      <c r="J5" s="109"/>
      <c r="K5" s="109"/>
      <c r="L5" s="109"/>
      <c r="M5" s="109"/>
      <c r="N5" s="109"/>
      <c r="O5" s="109"/>
      <c r="AA5" s="21" t="s">
        <v>56</v>
      </c>
      <c r="AB5" s="26">
        <f>SUM(E19:E22)</f>
        <v>0</v>
      </c>
      <c r="AC5" s="26">
        <f>SUM(F19:F22)</f>
        <v>0</v>
      </c>
    </row>
    <row r="6" spans="3:54" ht="15.75" customHeight="1">
      <c r="C6" s="109"/>
      <c r="D6" s="109"/>
      <c r="E6" s="109"/>
      <c r="F6" s="109"/>
      <c r="G6" s="109"/>
      <c r="H6" s="109"/>
      <c r="I6" s="109"/>
      <c r="J6" s="109"/>
      <c r="K6" s="109"/>
      <c r="L6" s="109"/>
      <c r="M6" s="109"/>
      <c r="N6" s="109"/>
      <c r="O6" s="109"/>
      <c r="AA6" s="21" t="s">
        <v>57</v>
      </c>
      <c r="AB6" s="26">
        <f>SUM(G19:G22)</f>
        <v>0</v>
      </c>
      <c r="AC6" s="26">
        <f>SUM(H19:H22)</f>
        <v>0</v>
      </c>
    </row>
    <row r="7" spans="3:54" ht="15.75" customHeight="1">
      <c r="C7" s="342" t="s">
        <v>142</v>
      </c>
      <c r="D7" s="342"/>
      <c r="E7" s="342"/>
      <c r="F7" s="342"/>
      <c r="G7" s="342"/>
      <c r="H7" s="342"/>
      <c r="I7" s="342"/>
      <c r="J7" s="342"/>
      <c r="K7" s="342"/>
      <c r="L7" s="342"/>
      <c r="M7" s="342"/>
      <c r="N7" s="342"/>
      <c r="O7" s="342"/>
      <c r="AA7" s="21" t="s">
        <v>58</v>
      </c>
      <c r="AB7" s="26">
        <f>SUM(I19:I22)</f>
        <v>0</v>
      </c>
      <c r="AC7" s="26">
        <f>SUM(J19:J22)</f>
        <v>0</v>
      </c>
    </row>
    <row r="8" spans="3:54" ht="30" customHeight="1">
      <c r="C8" s="110" t="s">
        <v>143</v>
      </c>
      <c r="D8" s="352"/>
      <c r="E8" s="353"/>
      <c r="F8" s="353"/>
      <c r="G8" s="353"/>
      <c r="H8" s="353"/>
      <c r="I8" s="353"/>
      <c r="J8" s="353"/>
      <c r="K8" s="353"/>
      <c r="L8" s="353"/>
      <c r="M8" s="353"/>
      <c r="N8" s="353"/>
      <c r="O8" s="354"/>
      <c r="Z8" s="25" t="s">
        <v>144</v>
      </c>
      <c r="AA8" s="21" t="s">
        <v>59</v>
      </c>
      <c r="AB8" s="26">
        <f>SUMIF($D$23:$D$24,$Z$8,E23:E24)+SUMIF($D$23:$D$24,$Z$8,G23:G24)</f>
        <v>0</v>
      </c>
      <c r="AC8" s="26">
        <f>SUMIF($D$23:$D$24,$Z$8,F23:F24)+SUMIF($D$23:$D$24,$Z$8,H23:H24)</f>
        <v>0</v>
      </c>
    </row>
    <row r="9" spans="3:54" ht="30" customHeight="1">
      <c r="C9" s="111" t="s">
        <v>145</v>
      </c>
      <c r="D9" s="352"/>
      <c r="E9" s="353"/>
      <c r="F9" s="353"/>
      <c r="G9" s="353"/>
      <c r="H9" s="353"/>
      <c r="I9" s="353"/>
      <c r="J9" s="353"/>
      <c r="K9" s="353"/>
      <c r="L9" s="353"/>
      <c r="M9" s="353"/>
      <c r="N9" s="353"/>
      <c r="O9" s="354"/>
      <c r="Z9" s="25" t="s">
        <v>146</v>
      </c>
      <c r="AA9" s="21" t="s">
        <v>60</v>
      </c>
      <c r="AB9" s="26">
        <f>SUMIF($D$23:$D$24,$Z$9,E23:E24)+SUMIF($D$23:$D$24,$Z$9,G23:G24)</f>
        <v>0</v>
      </c>
      <c r="AC9" s="26">
        <f>SUMIF($D$23:$D$24,$Z$9,F23:F24)+SUMIF($D$23:$D$24,$Z$9,H23:H24)</f>
        <v>0</v>
      </c>
    </row>
    <row r="10" spans="3:54" ht="30" customHeight="1">
      <c r="C10" s="110" t="s">
        <v>147</v>
      </c>
      <c r="D10" s="352"/>
      <c r="E10" s="353"/>
      <c r="F10" s="353"/>
      <c r="G10" s="353"/>
      <c r="H10" s="353"/>
      <c r="I10" s="353"/>
      <c r="J10" s="353"/>
      <c r="K10" s="353"/>
      <c r="L10" s="353"/>
      <c r="M10" s="353"/>
      <c r="N10" s="353"/>
      <c r="O10" s="354"/>
    </row>
    <row r="11" spans="3:54" ht="30" customHeight="1">
      <c r="C11" s="110" t="s">
        <v>148</v>
      </c>
      <c r="D11" s="352"/>
      <c r="E11" s="353"/>
      <c r="F11" s="353"/>
      <c r="G11" s="353"/>
      <c r="H11" s="353"/>
      <c r="I11" s="353"/>
      <c r="J11" s="353"/>
      <c r="K11" s="353"/>
      <c r="L11" s="353"/>
      <c r="M11" s="353"/>
      <c r="N11" s="353"/>
      <c r="O11" s="354"/>
    </row>
    <row r="12" spans="3:54" ht="15.75" customHeight="1">
      <c r="C12" s="109"/>
      <c r="D12" s="109"/>
      <c r="E12" s="109"/>
      <c r="F12" s="109"/>
      <c r="G12" s="109"/>
      <c r="H12" s="109"/>
      <c r="I12" s="109"/>
      <c r="J12" s="109"/>
      <c r="K12" s="109"/>
      <c r="L12" s="109"/>
      <c r="M12" s="109"/>
      <c r="N12" s="109"/>
      <c r="O12" s="109"/>
    </row>
    <row r="13" spans="3:54" ht="15.75" customHeight="1">
      <c r="C13" s="109"/>
      <c r="D13" s="109"/>
      <c r="E13" s="109"/>
      <c r="F13" s="109"/>
      <c r="G13" s="109"/>
      <c r="H13" s="109"/>
      <c r="I13" s="109"/>
      <c r="J13" s="109"/>
      <c r="K13" s="109"/>
      <c r="L13" s="109"/>
      <c r="M13" s="109"/>
      <c r="N13" s="109"/>
      <c r="O13" s="109"/>
    </row>
    <row r="14" spans="3:54" ht="15.75" customHeight="1">
      <c r="C14" s="173" t="s">
        <v>149</v>
      </c>
      <c r="D14" s="174"/>
      <c r="E14" s="109"/>
      <c r="F14" s="109"/>
      <c r="G14" s="109"/>
      <c r="H14" s="109"/>
      <c r="I14" s="109"/>
      <c r="J14" s="109"/>
      <c r="K14" s="109"/>
      <c r="L14" s="109"/>
      <c r="M14" s="109"/>
      <c r="N14" s="109"/>
      <c r="O14" s="109"/>
    </row>
    <row r="15" spans="3:54" ht="15.75" customHeight="1" thickBot="1">
      <c r="C15" s="175" t="s">
        <v>150</v>
      </c>
      <c r="D15" s="176"/>
      <c r="E15" s="109"/>
      <c r="F15" s="109"/>
      <c r="G15" s="109"/>
      <c r="H15" s="109"/>
      <c r="I15" s="109"/>
      <c r="J15" s="109"/>
      <c r="K15" s="109"/>
      <c r="L15" s="109"/>
      <c r="M15" s="109"/>
      <c r="N15" s="109"/>
      <c r="O15" s="109"/>
    </row>
    <row r="16" spans="3:54" ht="14.1" thickBot="1">
      <c r="C16" s="109"/>
      <c r="D16" s="109"/>
      <c r="E16" s="109"/>
      <c r="F16" s="109"/>
      <c r="G16" s="109"/>
      <c r="H16" s="109"/>
      <c r="I16" s="109"/>
      <c r="J16" s="109"/>
      <c r="K16" s="109"/>
      <c r="L16" s="109"/>
      <c r="M16" s="109"/>
      <c r="N16" s="109"/>
      <c r="O16" s="109"/>
      <c r="AE16" s="27" t="s">
        <v>151</v>
      </c>
      <c r="AF16" s="28"/>
      <c r="AG16" s="28"/>
      <c r="AH16" s="28"/>
      <c r="AI16" s="28"/>
      <c r="AJ16" s="28"/>
      <c r="AK16" s="29"/>
      <c r="AN16" s="330" t="s">
        <v>152</v>
      </c>
      <c r="AO16" s="331"/>
      <c r="AP16" s="331"/>
      <c r="AQ16" s="331"/>
      <c r="AR16" s="331"/>
      <c r="AS16" s="331"/>
      <c r="AT16" s="331"/>
      <c r="AU16" s="331"/>
      <c r="AV16" s="331"/>
      <c r="AW16" s="331"/>
      <c r="AX16" s="331"/>
      <c r="AY16" s="331"/>
      <c r="AZ16" s="331"/>
      <c r="BA16" s="331"/>
      <c r="BB16" s="332"/>
    </row>
    <row r="17" spans="3:54" ht="30" customHeight="1">
      <c r="C17" s="112" t="s">
        <v>153</v>
      </c>
      <c r="D17" s="113" t="s">
        <v>154</v>
      </c>
      <c r="E17" s="347" t="s">
        <v>155</v>
      </c>
      <c r="F17" s="348"/>
      <c r="G17" s="349" t="s">
        <v>156</v>
      </c>
      <c r="H17" s="350"/>
      <c r="I17" s="351" t="s">
        <v>157</v>
      </c>
      <c r="J17" s="296"/>
      <c r="K17" s="343" t="s">
        <v>158</v>
      </c>
      <c r="L17" s="290" t="s">
        <v>159</v>
      </c>
      <c r="M17" s="290"/>
      <c r="N17" s="290"/>
      <c r="O17" s="114" t="s">
        <v>90</v>
      </c>
      <c r="V17" s="27" t="s">
        <v>159</v>
      </c>
      <c r="W17" s="28"/>
      <c r="X17" s="29"/>
      <c r="AG17" s="338" t="s">
        <v>160</v>
      </c>
      <c r="AH17" s="338"/>
      <c r="AI17" s="338"/>
      <c r="AJ17" s="338"/>
      <c r="AK17" s="338"/>
      <c r="AN17" s="339" t="s">
        <v>161</v>
      </c>
      <c r="AO17" s="340"/>
      <c r="AP17" s="340"/>
      <c r="AQ17" s="340"/>
      <c r="AR17" s="341"/>
      <c r="AS17" s="324" t="s">
        <v>162</v>
      </c>
      <c r="AT17" s="325"/>
      <c r="AU17" s="325"/>
      <c r="AV17" s="325"/>
      <c r="AW17" s="326"/>
      <c r="AX17" s="327" t="s">
        <v>157</v>
      </c>
      <c r="AY17" s="328"/>
      <c r="AZ17" s="328"/>
      <c r="BA17" s="328"/>
      <c r="BB17" s="329"/>
    </row>
    <row r="18" spans="3:54" ht="15" customHeight="1" thickBot="1">
      <c r="C18" s="115"/>
      <c r="D18" s="116"/>
      <c r="E18" s="117" t="s">
        <v>54</v>
      </c>
      <c r="F18" s="118" t="s">
        <v>55</v>
      </c>
      <c r="G18" s="118" t="s">
        <v>54</v>
      </c>
      <c r="H18" s="118" t="s">
        <v>55</v>
      </c>
      <c r="I18" s="118" t="s">
        <v>54</v>
      </c>
      <c r="J18" s="118" t="s">
        <v>55</v>
      </c>
      <c r="K18" s="344"/>
      <c r="L18" s="116" t="s">
        <v>4</v>
      </c>
      <c r="M18" s="116" t="s">
        <v>163</v>
      </c>
      <c r="N18" s="119" t="s">
        <v>164</v>
      </c>
      <c r="O18" s="120"/>
      <c r="V18" s="26" t="s">
        <v>165</v>
      </c>
      <c r="W18" s="26"/>
      <c r="X18" s="26" t="s">
        <v>166</v>
      </c>
      <c r="AG18" s="31" t="s">
        <v>167</v>
      </c>
      <c r="AH18" s="31" t="s">
        <v>168</v>
      </c>
      <c r="AI18" s="31" t="s">
        <v>169</v>
      </c>
      <c r="AJ18" s="31" t="s">
        <v>170</v>
      </c>
      <c r="AK18" s="31" t="s">
        <v>171</v>
      </c>
      <c r="AN18" s="32" t="s">
        <v>167</v>
      </c>
      <c r="AO18" s="33" t="s">
        <v>168</v>
      </c>
      <c r="AP18" s="33" t="s">
        <v>169</v>
      </c>
      <c r="AQ18" s="33" t="s">
        <v>170</v>
      </c>
      <c r="AR18" s="34" t="s">
        <v>171</v>
      </c>
      <c r="AS18" s="32" t="s">
        <v>167</v>
      </c>
      <c r="AT18" s="33" t="s">
        <v>168</v>
      </c>
      <c r="AU18" s="33" t="s">
        <v>169</v>
      </c>
      <c r="AV18" s="33" t="s">
        <v>170</v>
      </c>
      <c r="AW18" s="34" t="s">
        <v>171</v>
      </c>
      <c r="AX18" s="35" t="s">
        <v>167</v>
      </c>
      <c r="AY18" s="33" t="s">
        <v>168</v>
      </c>
      <c r="AZ18" s="33" t="s">
        <v>169</v>
      </c>
      <c r="BA18" s="33" t="s">
        <v>170</v>
      </c>
      <c r="BB18" s="34" t="s">
        <v>171</v>
      </c>
    </row>
    <row r="19" spans="3:54">
      <c r="C19" s="121" t="s">
        <v>172</v>
      </c>
      <c r="D19" s="122" t="s">
        <v>173</v>
      </c>
      <c r="E19" s="123"/>
      <c r="F19" s="123"/>
      <c r="G19" s="123"/>
      <c r="H19" s="123"/>
      <c r="I19" s="123"/>
      <c r="J19" s="123"/>
      <c r="K19" s="123"/>
      <c r="L19" s="107" t="str">
        <f t="shared" ref="L19:L24" si="0">IF(VLOOKUP(D19,$AK$133:$AO$151,AN$131,FALSE)=0,"",VLOOKUP(D19,$AK$133:$AO$151,AN$131,FALSE))</f>
        <v/>
      </c>
      <c r="M19" s="123"/>
      <c r="N19" s="124" t="str">
        <f t="shared" ref="N19:N24" si="1">IF(VLOOKUP(D19,$AK$133:$AO$151,AO$131,FALSE)=0,"",VLOOKUP(D19,$AK$133:$AO$151,AO$131,FALSE))</f>
        <v/>
      </c>
      <c r="O19" s="125"/>
      <c r="V19" s="26">
        <f t="shared" ref="V19:V27" si="2">IF(OR(D19=$AK$143,D19=$AK$144),1,0)</f>
        <v>0</v>
      </c>
      <c r="W19" s="26">
        <f t="shared" ref="W19:W27" si="3">IF(D19=$AK$133,0,1)</f>
        <v>0</v>
      </c>
      <c r="X19" s="26">
        <f t="shared" ref="X19:X27" si="4">IF(AND(N19&lt;&gt;"",N19&lt;&gt;$AS$137),1,0)</f>
        <v>0</v>
      </c>
      <c r="AE19" s="26" t="str">
        <f t="shared" ref="AE19:AE24" si="5">VLOOKUP(D19,$AK$133:$AX$151,$AW$131,FALSE)</f>
        <v>tom</v>
      </c>
      <c r="AF19" s="26" t="str">
        <f t="shared" ref="AF19:AF24" si="6">IF(OR(D19=$AK$143,D19=$AK$144),AE19&amp;", "&amp;K19,AE19)</f>
        <v>tom</v>
      </c>
      <c r="AG19" s="38">
        <f>VLOOKUP($AF19,Utslippsdata!$B$20:$H$46,Utslippsdata!C$16,FALSE)</f>
        <v>0</v>
      </c>
      <c r="AH19" s="38">
        <f>VLOOKUP($AF19,Utslippsdata!$B$20:$H$46,Utslippsdata!D$16,FALSE)</f>
        <v>0</v>
      </c>
      <c r="AI19" s="38">
        <f>VLOOKUP($AF19,Utslippsdata!$B$20:$H$46,Utslippsdata!E$16,FALSE)</f>
        <v>0</v>
      </c>
      <c r="AJ19" s="38">
        <f>VLOOKUP($AF19,Utslippsdata!$B$20:$H$46,Utslippsdata!F$16,FALSE)</f>
        <v>0</v>
      </c>
      <c r="AK19" s="38">
        <f>VLOOKUP($AF19,Utslippsdata!$B$20:$H$46,Utslippsdata!G$16,FALSE)</f>
        <v>0</v>
      </c>
      <c r="AM19" s="39" t="str">
        <f t="shared" ref="AM19:AM24" si="7">AE19</f>
        <v>tom</v>
      </c>
      <c r="AN19" s="40">
        <f t="shared" ref="AN19:AR24" si="8">$F19*AG19</f>
        <v>0</v>
      </c>
      <c r="AO19" s="40">
        <f t="shared" si="8"/>
        <v>0</v>
      </c>
      <c r="AP19" s="40">
        <f t="shared" si="8"/>
        <v>0</v>
      </c>
      <c r="AQ19" s="40">
        <f t="shared" si="8"/>
        <v>0</v>
      </c>
      <c r="AR19" s="41">
        <f t="shared" si="8"/>
        <v>0</v>
      </c>
      <c r="AS19" s="42">
        <f t="shared" ref="AS19:AW24" si="9">$H19*AG19</f>
        <v>0</v>
      </c>
      <c r="AT19" s="43">
        <f t="shared" si="9"/>
        <v>0</v>
      </c>
      <c r="AU19" s="43">
        <f t="shared" si="9"/>
        <v>0</v>
      </c>
      <c r="AV19" s="43">
        <f t="shared" si="9"/>
        <v>0</v>
      </c>
      <c r="AW19" s="44">
        <f t="shared" si="9"/>
        <v>0</v>
      </c>
      <c r="AX19" s="40">
        <f t="shared" ref="AX19:BB24" si="10">$J19*AG19</f>
        <v>0</v>
      </c>
      <c r="AY19" s="40">
        <f t="shared" si="10"/>
        <v>0</v>
      </c>
      <c r="AZ19" s="40">
        <f t="shared" si="10"/>
        <v>0</v>
      </c>
      <c r="BA19" s="40">
        <f t="shared" si="10"/>
        <v>0</v>
      </c>
      <c r="BB19" s="40">
        <f t="shared" si="10"/>
        <v>0</v>
      </c>
    </row>
    <row r="20" spans="3:54">
      <c r="C20" s="107" t="s">
        <v>174</v>
      </c>
      <c r="D20" s="108" t="s">
        <v>173</v>
      </c>
      <c r="E20" s="123"/>
      <c r="F20" s="123"/>
      <c r="G20" s="123"/>
      <c r="H20" s="123"/>
      <c r="I20" s="123"/>
      <c r="J20" s="123"/>
      <c r="K20" s="123"/>
      <c r="L20" s="107" t="str">
        <f t="shared" si="0"/>
        <v/>
      </c>
      <c r="M20" s="123"/>
      <c r="N20" s="124" t="str">
        <f t="shared" si="1"/>
        <v/>
      </c>
      <c r="O20" s="125"/>
      <c r="V20" s="26">
        <f t="shared" si="2"/>
        <v>0</v>
      </c>
      <c r="W20" s="26">
        <f t="shared" si="3"/>
        <v>0</v>
      </c>
      <c r="X20" s="26">
        <f t="shared" si="4"/>
        <v>0</v>
      </c>
      <c r="AE20" s="26" t="str">
        <f t="shared" si="5"/>
        <v>tom</v>
      </c>
      <c r="AF20" s="26" t="str">
        <f t="shared" si="6"/>
        <v>tom</v>
      </c>
      <c r="AG20" s="38">
        <f>VLOOKUP($AF20,Utslippsdata!$B$20:$H$46,Utslippsdata!C$16,FALSE)</f>
        <v>0</v>
      </c>
      <c r="AH20" s="38">
        <f>VLOOKUP($AF20,Utslippsdata!$B$20:$H$46,Utslippsdata!D$16,FALSE)</f>
        <v>0</v>
      </c>
      <c r="AI20" s="38">
        <f>VLOOKUP($AF20,Utslippsdata!$B$20:$H$46,Utslippsdata!E$16,FALSE)</f>
        <v>0</v>
      </c>
      <c r="AJ20" s="38">
        <f>VLOOKUP($AF20,Utslippsdata!$B$20:$H$46,Utslippsdata!F$16,FALSE)</f>
        <v>0</v>
      </c>
      <c r="AK20" s="38">
        <f>VLOOKUP($AF20,Utslippsdata!$B$20:$H$46,Utslippsdata!G$16,FALSE)</f>
        <v>0</v>
      </c>
      <c r="AM20" s="45" t="str">
        <f t="shared" si="7"/>
        <v>tom</v>
      </c>
      <c r="AN20" s="40">
        <f t="shared" si="8"/>
        <v>0</v>
      </c>
      <c r="AO20" s="40">
        <f t="shared" si="8"/>
        <v>0</v>
      </c>
      <c r="AP20" s="40">
        <f t="shared" si="8"/>
        <v>0</v>
      </c>
      <c r="AQ20" s="40">
        <f t="shared" si="8"/>
        <v>0</v>
      </c>
      <c r="AR20" s="41">
        <f t="shared" si="8"/>
        <v>0</v>
      </c>
      <c r="AS20" s="46">
        <f t="shared" si="9"/>
        <v>0</v>
      </c>
      <c r="AT20" s="40">
        <f t="shared" si="9"/>
        <v>0</v>
      </c>
      <c r="AU20" s="40">
        <f t="shared" si="9"/>
        <v>0</v>
      </c>
      <c r="AV20" s="40">
        <f t="shared" si="9"/>
        <v>0</v>
      </c>
      <c r="AW20" s="47">
        <f t="shared" si="9"/>
        <v>0</v>
      </c>
      <c r="AX20" s="40">
        <f t="shared" si="10"/>
        <v>0</v>
      </c>
      <c r="AY20" s="40">
        <f t="shared" si="10"/>
        <v>0</v>
      </c>
      <c r="AZ20" s="40">
        <f t="shared" si="10"/>
        <v>0</v>
      </c>
      <c r="BA20" s="40">
        <f t="shared" si="10"/>
        <v>0</v>
      </c>
      <c r="BB20" s="40">
        <f t="shared" si="10"/>
        <v>0</v>
      </c>
    </row>
    <row r="21" spans="3:54">
      <c r="C21" s="107" t="s">
        <v>175</v>
      </c>
      <c r="D21" s="108" t="s">
        <v>173</v>
      </c>
      <c r="E21" s="123"/>
      <c r="F21" s="123"/>
      <c r="G21" s="123"/>
      <c r="H21" s="123"/>
      <c r="I21" s="123"/>
      <c r="J21" s="123"/>
      <c r="K21" s="123"/>
      <c r="L21" s="107" t="str">
        <f t="shared" si="0"/>
        <v/>
      </c>
      <c r="M21" s="123"/>
      <c r="N21" s="124" t="str">
        <f t="shared" si="1"/>
        <v/>
      </c>
      <c r="O21" s="125"/>
      <c r="V21" s="26">
        <f t="shared" si="2"/>
        <v>0</v>
      </c>
      <c r="W21" s="26">
        <f t="shared" si="3"/>
        <v>0</v>
      </c>
      <c r="X21" s="26">
        <f t="shared" si="4"/>
        <v>0</v>
      </c>
      <c r="AE21" s="26" t="str">
        <f t="shared" si="5"/>
        <v>tom</v>
      </c>
      <c r="AF21" s="26" t="str">
        <f t="shared" si="6"/>
        <v>tom</v>
      </c>
      <c r="AG21" s="38">
        <f>VLOOKUP($AF21,Utslippsdata!$B$20:$H$46,Utslippsdata!C$16,FALSE)</f>
        <v>0</v>
      </c>
      <c r="AH21" s="38">
        <f>VLOOKUP($AF21,Utslippsdata!$B$20:$H$46,Utslippsdata!D$16,FALSE)</f>
        <v>0</v>
      </c>
      <c r="AI21" s="38">
        <f>VLOOKUP($AF21,Utslippsdata!$B$20:$H$46,Utslippsdata!E$16,FALSE)</f>
        <v>0</v>
      </c>
      <c r="AJ21" s="38">
        <f>VLOOKUP($AF21,Utslippsdata!$B$20:$H$46,Utslippsdata!F$16,FALSE)</f>
        <v>0</v>
      </c>
      <c r="AK21" s="38">
        <f>VLOOKUP($AF21,Utslippsdata!$B$20:$H$46,Utslippsdata!G$16,FALSE)</f>
        <v>0</v>
      </c>
      <c r="AM21" s="45" t="str">
        <f t="shared" si="7"/>
        <v>tom</v>
      </c>
      <c r="AN21" s="40">
        <f t="shared" si="8"/>
        <v>0</v>
      </c>
      <c r="AO21" s="40">
        <f t="shared" si="8"/>
        <v>0</v>
      </c>
      <c r="AP21" s="40">
        <f t="shared" si="8"/>
        <v>0</v>
      </c>
      <c r="AQ21" s="40">
        <f t="shared" si="8"/>
        <v>0</v>
      </c>
      <c r="AR21" s="41">
        <f t="shared" si="8"/>
        <v>0</v>
      </c>
      <c r="AS21" s="46">
        <f t="shared" si="9"/>
        <v>0</v>
      </c>
      <c r="AT21" s="40">
        <f t="shared" si="9"/>
        <v>0</v>
      </c>
      <c r="AU21" s="40">
        <f t="shared" si="9"/>
        <v>0</v>
      </c>
      <c r="AV21" s="40">
        <f t="shared" si="9"/>
        <v>0</v>
      </c>
      <c r="AW21" s="47">
        <f t="shared" si="9"/>
        <v>0</v>
      </c>
      <c r="AX21" s="40">
        <f t="shared" si="10"/>
        <v>0</v>
      </c>
      <c r="AY21" s="40">
        <f t="shared" si="10"/>
        <v>0</v>
      </c>
      <c r="AZ21" s="40">
        <f t="shared" si="10"/>
        <v>0</v>
      </c>
      <c r="BA21" s="40">
        <f t="shared" si="10"/>
        <v>0</v>
      </c>
      <c r="BB21" s="40">
        <f t="shared" si="10"/>
        <v>0</v>
      </c>
    </row>
    <row r="22" spans="3:54">
      <c r="C22" s="107" t="s">
        <v>176</v>
      </c>
      <c r="D22" s="108" t="s">
        <v>173</v>
      </c>
      <c r="E22" s="123"/>
      <c r="F22" s="123"/>
      <c r="G22" s="123"/>
      <c r="H22" s="123"/>
      <c r="I22" s="123"/>
      <c r="J22" s="123"/>
      <c r="K22" s="123"/>
      <c r="L22" s="107" t="str">
        <f t="shared" si="0"/>
        <v/>
      </c>
      <c r="M22" s="123"/>
      <c r="N22" s="124" t="str">
        <f t="shared" si="1"/>
        <v/>
      </c>
      <c r="O22" s="125"/>
      <c r="V22" s="26">
        <f t="shared" si="2"/>
        <v>0</v>
      </c>
      <c r="W22" s="26">
        <f t="shared" si="3"/>
        <v>0</v>
      </c>
      <c r="X22" s="26">
        <f t="shared" si="4"/>
        <v>0</v>
      </c>
      <c r="AE22" s="26" t="str">
        <f t="shared" si="5"/>
        <v>tom</v>
      </c>
      <c r="AF22" s="26" t="str">
        <f t="shared" si="6"/>
        <v>tom</v>
      </c>
      <c r="AG22" s="38">
        <f>VLOOKUP($AF22,Utslippsdata!$B$20:$H$46,Utslippsdata!C$16,FALSE)</f>
        <v>0</v>
      </c>
      <c r="AH22" s="38">
        <f>VLOOKUP($AF22,Utslippsdata!$B$20:$H$46,Utslippsdata!D$16,FALSE)</f>
        <v>0</v>
      </c>
      <c r="AI22" s="38">
        <f>VLOOKUP($AF22,Utslippsdata!$B$20:$H$46,Utslippsdata!E$16,FALSE)</f>
        <v>0</v>
      </c>
      <c r="AJ22" s="38">
        <f>VLOOKUP($AF22,Utslippsdata!$B$20:$H$46,Utslippsdata!F$16,FALSE)</f>
        <v>0</v>
      </c>
      <c r="AK22" s="38">
        <f>VLOOKUP($AF22,Utslippsdata!$B$20:$H$46,Utslippsdata!G$16,FALSE)</f>
        <v>0</v>
      </c>
      <c r="AM22" s="45" t="str">
        <f t="shared" si="7"/>
        <v>tom</v>
      </c>
      <c r="AN22" s="40">
        <f t="shared" si="8"/>
        <v>0</v>
      </c>
      <c r="AO22" s="40">
        <f t="shared" si="8"/>
        <v>0</v>
      </c>
      <c r="AP22" s="40">
        <f t="shared" si="8"/>
        <v>0</v>
      </c>
      <c r="AQ22" s="40">
        <f t="shared" si="8"/>
        <v>0</v>
      </c>
      <c r="AR22" s="41">
        <f t="shared" si="8"/>
        <v>0</v>
      </c>
      <c r="AS22" s="46">
        <f t="shared" si="9"/>
        <v>0</v>
      </c>
      <c r="AT22" s="40">
        <f t="shared" si="9"/>
        <v>0</v>
      </c>
      <c r="AU22" s="40">
        <f t="shared" si="9"/>
        <v>0</v>
      </c>
      <c r="AV22" s="40">
        <f t="shared" si="9"/>
        <v>0</v>
      </c>
      <c r="AW22" s="47">
        <f t="shared" si="9"/>
        <v>0</v>
      </c>
      <c r="AX22" s="40">
        <f t="shared" si="10"/>
        <v>0</v>
      </c>
      <c r="AY22" s="40">
        <f t="shared" si="10"/>
        <v>0</v>
      </c>
      <c r="AZ22" s="40">
        <f t="shared" si="10"/>
        <v>0</v>
      </c>
      <c r="BA22" s="40">
        <f t="shared" si="10"/>
        <v>0</v>
      </c>
      <c r="BB22" s="40">
        <f t="shared" si="10"/>
        <v>0</v>
      </c>
    </row>
    <row r="23" spans="3:54">
      <c r="C23" s="107" t="s">
        <v>177</v>
      </c>
      <c r="D23" s="108" t="s">
        <v>173</v>
      </c>
      <c r="E23" s="123"/>
      <c r="F23" s="123"/>
      <c r="G23" s="123"/>
      <c r="H23" s="123"/>
      <c r="I23" s="123"/>
      <c r="J23" s="123"/>
      <c r="K23" s="123"/>
      <c r="L23" s="107" t="str">
        <f t="shared" si="0"/>
        <v/>
      </c>
      <c r="M23" s="123"/>
      <c r="N23" s="124" t="str">
        <f t="shared" si="1"/>
        <v/>
      </c>
      <c r="O23" s="125"/>
      <c r="V23" s="26">
        <f t="shared" si="2"/>
        <v>0</v>
      </c>
      <c r="W23" s="26">
        <f t="shared" si="3"/>
        <v>0</v>
      </c>
      <c r="X23" s="26">
        <f t="shared" si="4"/>
        <v>0</v>
      </c>
      <c r="AE23" s="26" t="str">
        <f t="shared" si="5"/>
        <v>tom</v>
      </c>
      <c r="AF23" s="26" t="str">
        <f t="shared" si="6"/>
        <v>tom</v>
      </c>
      <c r="AG23" s="38">
        <f>VLOOKUP($AF23,Utslippsdata!$B$20:$H$46,Utslippsdata!C$16,FALSE)</f>
        <v>0</v>
      </c>
      <c r="AH23" s="38">
        <f>VLOOKUP($AF23,Utslippsdata!$B$20:$H$46,Utslippsdata!D$16,FALSE)</f>
        <v>0</v>
      </c>
      <c r="AI23" s="38">
        <f>VLOOKUP($AF23,Utslippsdata!$B$20:$H$46,Utslippsdata!E$16,FALSE)</f>
        <v>0</v>
      </c>
      <c r="AJ23" s="38">
        <f>VLOOKUP($AF23,Utslippsdata!$B$20:$H$46,Utslippsdata!F$16,FALSE)</f>
        <v>0</v>
      </c>
      <c r="AK23" s="38">
        <f>VLOOKUP($AF23,Utslippsdata!$B$20:$H$46,Utslippsdata!G$16,FALSE)</f>
        <v>0</v>
      </c>
      <c r="AM23" s="45" t="str">
        <f t="shared" si="7"/>
        <v>tom</v>
      </c>
      <c r="AN23" s="40">
        <f t="shared" si="8"/>
        <v>0</v>
      </c>
      <c r="AO23" s="40">
        <f t="shared" si="8"/>
        <v>0</v>
      </c>
      <c r="AP23" s="40">
        <f t="shared" si="8"/>
        <v>0</v>
      </c>
      <c r="AQ23" s="40">
        <f t="shared" si="8"/>
        <v>0</v>
      </c>
      <c r="AR23" s="41">
        <f t="shared" si="8"/>
        <v>0</v>
      </c>
      <c r="AS23" s="46">
        <f t="shared" si="9"/>
        <v>0</v>
      </c>
      <c r="AT23" s="40">
        <f t="shared" si="9"/>
        <v>0</v>
      </c>
      <c r="AU23" s="40">
        <f t="shared" si="9"/>
        <v>0</v>
      </c>
      <c r="AV23" s="40">
        <f t="shared" si="9"/>
        <v>0</v>
      </c>
      <c r="AW23" s="47">
        <f t="shared" si="9"/>
        <v>0</v>
      </c>
      <c r="AX23" s="40">
        <f t="shared" si="10"/>
        <v>0</v>
      </c>
      <c r="AY23" s="40">
        <f t="shared" si="10"/>
        <v>0</v>
      </c>
      <c r="AZ23" s="40">
        <f t="shared" si="10"/>
        <v>0</v>
      </c>
      <c r="BA23" s="40">
        <f t="shared" si="10"/>
        <v>0</v>
      </c>
      <c r="BB23" s="40">
        <f t="shared" si="10"/>
        <v>0</v>
      </c>
    </row>
    <row r="24" spans="3:54">
      <c r="C24" s="107" t="s">
        <v>178</v>
      </c>
      <c r="D24" s="108" t="s">
        <v>173</v>
      </c>
      <c r="E24" s="123"/>
      <c r="F24" s="123"/>
      <c r="G24" s="123"/>
      <c r="H24" s="123"/>
      <c r="I24" s="123"/>
      <c r="J24" s="123"/>
      <c r="K24" s="123"/>
      <c r="L24" s="107" t="str">
        <f t="shared" si="0"/>
        <v/>
      </c>
      <c r="M24" s="123"/>
      <c r="N24" s="124" t="str">
        <f t="shared" si="1"/>
        <v/>
      </c>
      <c r="O24" s="125"/>
      <c r="V24" s="26">
        <f t="shared" si="2"/>
        <v>0</v>
      </c>
      <c r="W24" s="26">
        <f t="shared" si="3"/>
        <v>0</v>
      </c>
      <c r="X24" s="26">
        <f t="shared" si="4"/>
        <v>0</v>
      </c>
      <c r="AE24" s="26" t="str">
        <f t="shared" si="5"/>
        <v>tom</v>
      </c>
      <c r="AF24" s="26" t="str">
        <f t="shared" si="6"/>
        <v>tom</v>
      </c>
      <c r="AG24" s="38">
        <f>VLOOKUP($AF24,Utslippsdata!$B$20:$H$46,Utslippsdata!C$16,FALSE)</f>
        <v>0</v>
      </c>
      <c r="AH24" s="38">
        <f>VLOOKUP($AF24,Utslippsdata!$B$20:$H$46,Utslippsdata!D$16,FALSE)</f>
        <v>0</v>
      </c>
      <c r="AI24" s="38">
        <f>VLOOKUP($AF24,Utslippsdata!$B$20:$H$46,Utslippsdata!E$16,FALSE)</f>
        <v>0</v>
      </c>
      <c r="AJ24" s="38">
        <f>VLOOKUP($AF24,Utslippsdata!$B$20:$H$46,Utslippsdata!F$16,FALSE)</f>
        <v>0</v>
      </c>
      <c r="AK24" s="38">
        <f>VLOOKUP($AF24,Utslippsdata!$B$20:$H$46,Utslippsdata!G$16,FALSE)</f>
        <v>0</v>
      </c>
      <c r="AM24" s="45" t="str">
        <f t="shared" si="7"/>
        <v>tom</v>
      </c>
      <c r="AN24" s="40">
        <f t="shared" si="8"/>
        <v>0</v>
      </c>
      <c r="AO24" s="40">
        <f t="shared" si="8"/>
        <v>0</v>
      </c>
      <c r="AP24" s="40">
        <f t="shared" si="8"/>
        <v>0</v>
      </c>
      <c r="AQ24" s="40">
        <f t="shared" si="8"/>
        <v>0</v>
      </c>
      <c r="AR24" s="41">
        <f t="shared" si="8"/>
        <v>0</v>
      </c>
      <c r="AS24" s="46">
        <f t="shared" si="9"/>
        <v>0</v>
      </c>
      <c r="AT24" s="40">
        <f t="shared" si="9"/>
        <v>0</v>
      </c>
      <c r="AU24" s="40">
        <f t="shared" si="9"/>
        <v>0</v>
      </c>
      <c r="AV24" s="40">
        <f t="shared" si="9"/>
        <v>0</v>
      </c>
      <c r="AW24" s="47">
        <f t="shared" si="9"/>
        <v>0</v>
      </c>
      <c r="AX24" s="40">
        <f t="shared" si="10"/>
        <v>0</v>
      </c>
      <c r="AY24" s="40">
        <f t="shared" si="10"/>
        <v>0</v>
      </c>
      <c r="AZ24" s="40">
        <f t="shared" si="10"/>
        <v>0</v>
      </c>
      <c r="BA24" s="40">
        <f t="shared" si="10"/>
        <v>0</v>
      </c>
      <c r="BB24" s="40">
        <f t="shared" si="10"/>
        <v>0</v>
      </c>
    </row>
    <row r="25" spans="3:54" ht="14.4" thickBot="1">
      <c r="C25" s="107" t="s">
        <v>179</v>
      </c>
      <c r="D25" s="107" t="s">
        <v>180</v>
      </c>
      <c r="E25" s="335"/>
      <c r="F25" s="335"/>
      <c r="G25" s="336"/>
      <c r="H25" s="337"/>
      <c r="I25" s="345"/>
      <c r="J25" s="346"/>
      <c r="K25" s="126"/>
      <c r="L25" s="127"/>
      <c r="M25" s="127"/>
      <c r="N25" s="128"/>
      <c r="O25" s="125"/>
      <c r="P25" s="48"/>
      <c r="Q25" s="48"/>
      <c r="T25" s="48"/>
      <c r="U25" s="48"/>
      <c r="V25" s="26">
        <f t="shared" si="2"/>
        <v>0</v>
      </c>
      <c r="W25" s="26">
        <f t="shared" si="3"/>
        <v>1</v>
      </c>
      <c r="X25" s="26">
        <f t="shared" si="4"/>
        <v>0</v>
      </c>
      <c r="AM25" s="49" t="s">
        <v>179</v>
      </c>
      <c r="AN25" s="50">
        <f>$E$25*$E$26*(Utslippsdata!C54+Utslippsdata!C55)+$E$26*Utslippsdata!C56</f>
        <v>0</v>
      </c>
      <c r="AO25" s="51">
        <f>$E$25*$E$26*(Utslippsdata!D54+Utslippsdata!D55)+$E$26*Utslippsdata!D56</f>
        <v>0</v>
      </c>
      <c r="AP25" s="51">
        <f>$E$25*$E$26*(Utslippsdata!E54+Utslippsdata!E55)+$E$26*Utslippsdata!E56</f>
        <v>0</v>
      </c>
      <c r="AQ25" s="51">
        <f>$E$25*$E$26*(Utslippsdata!F54+Utslippsdata!F55)+$E$26*Utslippsdata!F56</f>
        <v>0</v>
      </c>
      <c r="AR25" s="52">
        <f>$E$25*$E$26*(Utslippsdata!G54+Utslippsdata!G55)+$E$26*Utslippsdata!G56</f>
        <v>0</v>
      </c>
      <c r="AS25" s="53">
        <f>$G$25*$G$26*(Utslippsdata!C54+Utslippsdata!C55)+$G$26*Utslippsdata!C56</f>
        <v>0</v>
      </c>
      <c r="AT25" s="51">
        <f>$G$25*$G$26*(Utslippsdata!D54+Utslippsdata!D55)+$G$26*Utslippsdata!D56</f>
        <v>0</v>
      </c>
      <c r="AU25" s="51">
        <f>$G$25*$G$26*(Utslippsdata!E54+Utslippsdata!E55)+$G$26*Utslippsdata!E56</f>
        <v>0</v>
      </c>
      <c r="AV25" s="51">
        <f>$G$25*$G$26*(Utslippsdata!F54+Utslippsdata!F55)+$G$26*Utslippsdata!F56</f>
        <v>0</v>
      </c>
      <c r="AW25" s="54">
        <f>$G$25*$G$26*(Utslippsdata!G54+Utslippsdata!G55)+$G$26*Utslippsdata!G56</f>
        <v>0</v>
      </c>
      <c r="AX25" s="55"/>
      <c r="AY25" s="56"/>
      <c r="AZ25" s="56"/>
      <c r="BA25" s="56"/>
      <c r="BB25" s="57"/>
    </row>
    <row r="26" spans="3:54" ht="14.1" thickBot="1">
      <c r="C26" s="107" t="s">
        <v>181</v>
      </c>
      <c r="D26" s="107" t="s">
        <v>182</v>
      </c>
      <c r="E26" s="335"/>
      <c r="F26" s="335"/>
      <c r="G26" s="336"/>
      <c r="H26" s="337"/>
      <c r="I26" s="129"/>
      <c r="J26" s="130"/>
      <c r="K26" s="131"/>
      <c r="L26" s="109"/>
      <c r="M26" s="109"/>
      <c r="N26" s="132"/>
      <c r="O26" s="125"/>
      <c r="P26" s="48"/>
      <c r="Q26" s="48"/>
      <c r="T26" s="48"/>
      <c r="U26" s="48"/>
      <c r="V26" s="26">
        <f t="shared" si="2"/>
        <v>0</v>
      </c>
      <c r="W26" s="26">
        <f t="shared" si="3"/>
        <v>1</v>
      </c>
      <c r="X26" s="26">
        <f t="shared" si="4"/>
        <v>0</v>
      </c>
      <c r="AM26" s="59" t="s">
        <v>183</v>
      </c>
      <c r="AN26" s="60">
        <f t="shared" ref="AN26:BB26" si="11">SUM(AN19:AN25)</f>
        <v>0</v>
      </c>
      <c r="AO26" s="61">
        <f t="shared" si="11"/>
        <v>0</v>
      </c>
      <c r="AP26" s="61">
        <f t="shared" si="11"/>
        <v>0</v>
      </c>
      <c r="AQ26" s="61">
        <f t="shared" si="11"/>
        <v>0</v>
      </c>
      <c r="AR26" s="62">
        <f t="shared" si="11"/>
        <v>0</v>
      </c>
      <c r="AS26" s="60">
        <f t="shared" si="11"/>
        <v>0</v>
      </c>
      <c r="AT26" s="61">
        <f t="shared" si="11"/>
        <v>0</v>
      </c>
      <c r="AU26" s="61">
        <f t="shared" si="11"/>
        <v>0</v>
      </c>
      <c r="AV26" s="61">
        <f t="shared" si="11"/>
        <v>0</v>
      </c>
      <c r="AW26" s="62">
        <f t="shared" si="11"/>
        <v>0</v>
      </c>
      <c r="AX26" s="60">
        <f t="shared" si="11"/>
        <v>0</v>
      </c>
      <c r="AY26" s="61">
        <f t="shared" si="11"/>
        <v>0</v>
      </c>
      <c r="AZ26" s="61">
        <f t="shared" si="11"/>
        <v>0</v>
      </c>
      <c r="BA26" s="61">
        <f t="shared" si="11"/>
        <v>0</v>
      </c>
      <c r="BB26" s="62">
        <f t="shared" si="11"/>
        <v>0</v>
      </c>
    </row>
    <row r="27" spans="3:54">
      <c r="C27" s="124" t="s">
        <v>184</v>
      </c>
      <c r="D27" s="133"/>
      <c r="E27" s="400"/>
      <c r="F27" s="401"/>
      <c r="G27" s="336"/>
      <c r="H27" s="337"/>
      <c r="I27" s="336"/>
      <c r="J27" s="337"/>
      <c r="K27" s="134"/>
      <c r="L27" s="135"/>
      <c r="M27" s="135"/>
      <c r="N27" s="136"/>
      <c r="O27" s="125"/>
      <c r="V27" s="26">
        <f t="shared" si="2"/>
        <v>0</v>
      </c>
      <c r="W27" s="26">
        <f t="shared" si="3"/>
        <v>1</v>
      </c>
      <c r="X27" s="26">
        <f t="shared" si="4"/>
        <v>0</v>
      </c>
    </row>
    <row r="28" spans="3:54">
      <c r="C28" s="109"/>
      <c r="D28" s="109"/>
      <c r="E28" s="109"/>
      <c r="F28" s="109"/>
      <c r="G28" s="109"/>
      <c r="H28" s="109"/>
      <c r="I28" s="109"/>
      <c r="J28" s="109"/>
      <c r="K28" s="109"/>
      <c r="L28" s="109"/>
      <c r="M28" s="109"/>
      <c r="N28" s="109"/>
      <c r="O28" s="109"/>
      <c r="AM28" s="26" t="s">
        <v>185</v>
      </c>
      <c r="AN28" s="26"/>
      <c r="AO28" s="26"/>
      <c r="AP28" s="26"/>
      <c r="AQ28" s="26"/>
      <c r="AR28" s="26"/>
      <c r="AS28" s="26"/>
      <c r="AT28" s="26"/>
      <c r="AU28" s="26"/>
      <c r="AV28" s="26"/>
      <c r="AW28" s="26"/>
      <c r="AX28" s="26">
        <f ca="1">YEAR(TODAY())</f>
        <v>2024</v>
      </c>
      <c r="AY28" s="63">
        <f>DATE('Generelt om prosjektet'!C26,1,1)</f>
        <v>45658</v>
      </c>
      <c r="AZ28" s="26">
        <f>YEAR(AY28)</f>
        <v>2025</v>
      </c>
      <c r="BA28" s="26"/>
    </row>
    <row r="29" spans="3:54">
      <c r="C29" s="118" t="s">
        <v>186</v>
      </c>
      <c r="D29" s="118"/>
      <c r="E29" s="118" t="s">
        <v>187</v>
      </c>
      <c r="F29" s="118" t="s">
        <v>164</v>
      </c>
      <c r="G29" s="137" t="s">
        <v>90</v>
      </c>
      <c r="H29" s="138"/>
      <c r="I29" s="138"/>
      <c r="J29" s="117"/>
      <c r="K29" s="109"/>
      <c r="L29" s="109"/>
      <c r="M29" s="109"/>
      <c r="N29" s="109"/>
      <c r="O29" s="109"/>
      <c r="U29" s="25" t="s">
        <v>188</v>
      </c>
      <c r="V29" s="26">
        <f>SUM(E19:F22)</f>
        <v>0</v>
      </c>
      <c r="W29" s="26">
        <f>SUM(G19:H22)</f>
        <v>0</v>
      </c>
      <c r="X29" s="26">
        <f>SUM(I19:J22)</f>
        <v>0</v>
      </c>
      <c r="AM29" s="26" t="s">
        <v>189</v>
      </c>
      <c r="AN29" s="26"/>
      <c r="AO29" s="26"/>
      <c r="AP29" s="26"/>
      <c r="AQ29" s="26"/>
      <c r="AR29" s="26"/>
      <c r="AS29" s="26"/>
      <c r="AT29" s="26"/>
      <c r="AU29" s="26"/>
      <c r="AV29" s="26"/>
      <c r="AW29" s="26"/>
      <c r="AX29" s="26">
        <f ca="1">IF(AZ28&gt;AX28,AZ28,AX28)</f>
        <v>2025</v>
      </c>
      <c r="AY29" s="26"/>
      <c r="AZ29" s="26"/>
      <c r="BA29" s="26"/>
    </row>
    <row r="30" spans="3:54">
      <c r="C30" s="111" t="s">
        <v>190</v>
      </c>
      <c r="D30" s="154" t="s">
        <v>191</v>
      </c>
      <c r="E30" s="270">
        <v>1.95</v>
      </c>
      <c r="F30" s="111" t="s">
        <v>192</v>
      </c>
      <c r="G30" s="397"/>
      <c r="H30" s="398"/>
      <c r="I30" s="398"/>
      <c r="J30" s="399"/>
      <c r="U30" s="25" t="s">
        <v>193</v>
      </c>
      <c r="V30" s="26">
        <f>SUM(E23:H24)</f>
        <v>0</v>
      </c>
      <c r="W30" s="26"/>
      <c r="X30" s="26"/>
      <c r="AM30" s="26" t="s">
        <v>194</v>
      </c>
      <c r="AN30" s="26"/>
      <c r="AO30" s="26"/>
      <c r="AP30" s="26"/>
      <c r="AQ30" s="26"/>
      <c r="AR30" s="26"/>
      <c r="AS30" s="26"/>
      <c r="AT30" s="26"/>
      <c r="AU30" s="26"/>
      <c r="AV30" s="26"/>
      <c r="AW30" s="26"/>
      <c r="AX30" s="63">
        <f>DATE(I27,1,1)</f>
        <v>1</v>
      </c>
      <c r="AY30" s="26"/>
      <c r="AZ30" s="26">
        <f>IF(I27="",0,YEAR(AX30))</f>
        <v>0</v>
      </c>
      <c r="BA30" s="26"/>
    </row>
    <row r="31" spans="3:54">
      <c r="C31" s="109"/>
      <c r="D31" s="109"/>
      <c r="E31" s="109"/>
      <c r="F31" s="109"/>
      <c r="G31" s="378"/>
      <c r="H31" s="378"/>
      <c r="I31" s="378"/>
      <c r="J31" s="378"/>
      <c r="AM31" s="26" t="s">
        <v>195</v>
      </c>
      <c r="AN31" s="26"/>
      <c r="AO31" s="26"/>
      <c r="AP31" s="26"/>
      <c r="AQ31" s="26"/>
      <c r="AR31" s="26"/>
      <c r="AS31" s="26"/>
      <c r="AT31" s="26"/>
      <c r="AU31" s="26"/>
      <c r="AV31" s="26"/>
      <c r="AW31" s="26"/>
      <c r="AX31" s="26">
        <f ca="1">AX29-AZ30</f>
        <v>2025</v>
      </c>
      <c r="AY31" s="26" t="s">
        <v>196</v>
      </c>
      <c r="AZ31" s="26">
        <f>'Generelt om prosjektet'!C24</f>
        <v>50</v>
      </c>
      <c r="BA31" s="26" t="s">
        <v>196</v>
      </c>
    </row>
    <row r="32" spans="3:54">
      <c r="C32" s="109"/>
      <c r="D32" s="109"/>
      <c r="E32" s="109"/>
      <c r="F32" s="109"/>
      <c r="G32" s="378"/>
      <c r="H32" s="378"/>
      <c r="I32" s="378"/>
      <c r="J32" s="378"/>
      <c r="AM32" s="26" t="s">
        <v>197</v>
      </c>
      <c r="AN32" s="26"/>
      <c r="AO32" s="26"/>
      <c r="AP32" s="26"/>
      <c r="AQ32" s="26"/>
      <c r="AR32" s="26"/>
      <c r="AS32" s="26"/>
      <c r="AT32" s="26"/>
      <c r="AU32" s="26"/>
      <c r="AV32" s="26"/>
      <c r="AW32" s="26"/>
      <c r="AX32" s="26">
        <f ca="1">'Generelt om prosjektet'!C24-AX31</f>
        <v>-1975</v>
      </c>
      <c r="AY32" s="26" t="s">
        <v>196</v>
      </c>
      <c r="AZ32" s="26"/>
      <c r="BA32" s="26"/>
    </row>
    <row r="33" spans="3:53" ht="14.1" thickBot="1">
      <c r="C33" s="139" t="s">
        <v>198</v>
      </c>
      <c r="D33" s="118" t="s">
        <v>4</v>
      </c>
      <c r="E33" s="118" t="s">
        <v>199</v>
      </c>
      <c r="F33" s="118" t="s">
        <v>164</v>
      </c>
      <c r="G33" s="137" t="s">
        <v>90</v>
      </c>
      <c r="H33" s="138"/>
      <c r="I33" s="138"/>
      <c r="J33" s="117"/>
      <c r="AE33" s="27" t="s">
        <v>200</v>
      </c>
      <c r="AF33" s="28"/>
      <c r="AG33" s="29"/>
      <c r="AM33" s="26" t="s">
        <v>201</v>
      </c>
      <c r="AX33" s="64">
        <f ca="1">IF($AX$31&lt;$AZ$31,AX26/$AZ$31*$AX$32,0)</f>
        <v>0</v>
      </c>
      <c r="AY33" s="64">
        <f ca="1">IF($AX$31&lt;$AZ$31,AY26/$AZ$31*$AX$32,0)</f>
        <v>0</v>
      </c>
      <c r="AZ33" s="64">
        <f ca="1">IF($AX$31&lt;$AZ$31,AZ26/$AZ$31*$AX$32,0)</f>
        <v>0</v>
      </c>
      <c r="BA33" s="64">
        <f ca="1">IF($AX$31&lt;$AZ$31,BA26/$AZ$31*$AX$32,0)</f>
        <v>0</v>
      </c>
    </row>
    <row r="34" spans="3:53">
      <c r="C34" s="107" t="s">
        <v>202</v>
      </c>
      <c r="D34" s="107" t="s">
        <v>203</v>
      </c>
      <c r="E34" s="140"/>
      <c r="F34" s="107" t="s">
        <v>204</v>
      </c>
      <c r="G34" s="355"/>
      <c r="H34" s="355"/>
      <c r="I34" s="355"/>
      <c r="J34" s="355"/>
      <c r="AE34" s="26"/>
      <c r="AF34" s="26"/>
      <c r="AG34" s="26"/>
      <c r="AI34" s="26" t="s">
        <v>205</v>
      </c>
      <c r="AJ34" s="26">
        <f t="shared" ref="AJ34:AJ43" ca="1" si="12">SUMIF($L$19:$M$24,AI34,$M$19:$M$24)</f>
        <v>0</v>
      </c>
      <c r="AK34" s="25" t="s">
        <v>206</v>
      </c>
    </row>
    <row r="35" spans="3:53">
      <c r="C35" s="107" t="s">
        <v>207</v>
      </c>
      <c r="D35" s="107" t="s">
        <v>208</v>
      </c>
      <c r="E35" s="140"/>
      <c r="F35" s="107" t="s">
        <v>204</v>
      </c>
      <c r="G35" s="355"/>
      <c r="H35" s="355"/>
      <c r="I35" s="355"/>
      <c r="J35" s="355"/>
      <c r="AE35" s="26" t="s">
        <v>185</v>
      </c>
      <c r="AF35" s="26">
        <f>'Generelt om prosjektet'!C24</f>
        <v>50</v>
      </c>
      <c r="AG35" s="26"/>
      <c r="AI35" s="26" t="s">
        <v>209</v>
      </c>
      <c r="AJ35" s="26">
        <f t="shared" ca="1" si="12"/>
        <v>0</v>
      </c>
      <c r="AM35" s="27" t="s">
        <v>210</v>
      </c>
      <c r="AN35" s="28"/>
      <c r="AO35" s="28"/>
      <c r="AP35" s="28"/>
      <c r="AQ35" s="28"/>
      <c r="AR35" s="28"/>
      <c r="AS35" s="28"/>
      <c r="AT35" s="29"/>
    </row>
    <row r="36" spans="3:53">
      <c r="C36" s="107" t="s">
        <v>211</v>
      </c>
      <c r="D36" s="170"/>
      <c r="E36" s="156"/>
      <c r="F36" s="107" t="s">
        <v>204</v>
      </c>
      <c r="G36" s="355"/>
      <c r="H36" s="355"/>
      <c r="I36" s="355"/>
      <c r="J36" s="355"/>
      <c r="AE36" s="26" t="str">
        <f>C34</f>
        <v>Beregnet levert strøm</v>
      </c>
      <c r="AF36" s="38">
        <f>E34*Utslippsdata!C76*$AF$35/1000</f>
        <v>0</v>
      </c>
      <c r="AG36" s="26" t="s">
        <v>212</v>
      </c>
      <c r="AI36" s="26" t="s">
        <v>213</v>
      </c>
      <c r="AJ36" s="26">
        <f t="shared" ca="1" si="12"/>
        <v>0</v>
      </c>
      <c r="AK36" s="25" t="s">
        <v>214</v>
      </c>
      <c r="AM36" s="25">
        <f>'Generelt om prosjektet'!C24</f>
        <v>50</v>
      </c>
      <c r="AN36" s="25" t="s">
        <v>196</v>
      </c>
      <c r="AO36" s="333" t="s">
        <v>215</v>
      </c>
      <c r="AP36" s="333"/>
      <c r="AQ36" s="333"/>
      <c r="AR36" s="333"/>
      <c r="AS36" s="333"/>
      <c r="AT36" s="333"/>
    </row>
    <row r="37" spans="3:53" ht="14.1">
      <c r="C37" s="107" t="s">
        <v>216</v>
      </c>
      <c r="D37" s="107" t="s">
        <v>217</v>
      </c>
      <c r="E37" s="171"/>
      <c r="F37" s="107" t="s">
        <v>218</v>
      </c>
      <c r="G37" s="355"/>
      <c r="H37" s="355"/>
      <c r="I37" s="355"/>
      <c r="J37" s="355"/>
      <c r="AE37" s="26" t="str">
        <f>C35</f>
        <v>Beregnet levert fjernvarme</v>
      </c>
      <c r="AF37" s="38">
        <f>E35*Utslippsdata!C81*$AF$35/1000</f>
        <v>0</v>
      </c>
      <c r="AG37" s="26" t="s">
        <v>212</v>
      </c>
      <c r="AI37" s="26" t="s">
        <v>219</v>
      </c>
      <c r="AJ37" s="26">
        <f t="shared" ca="1" si="12"/>
        <v>0</v>
      </c>
      <c r="AM37" s="65"/>
      <c r="AN37" s="65" t="s">
        <v>220</v>
      </c>
      <c r="AO37" s="66" t="s">
        <v>221</v>
      </c>
      <c r="AP37" s="66" t="s">
        <v>222</v>
      </c>
      <c r="AQ37" s="66" t="s">
        <v>223</v>
      </c>
      <c r="AR37" s="66" t="s">
        <v>224</v>
      </c>
      <c r="AS37" s="66" t="s">
        <v>225</v>
      </c>
      <c r="AT37" s="66" t="s">
        <v>226</v>
      </c>
      <c r="AW37" s="67"/>
    </row>
    <row r="38" spans="3:53" ht="14.1" thickBot="1">
      <c r="C38" s="107" t="s">
        <v>227</v>
      </c>
      <c r="D38" s="107" t="s">
        <v>227</v>
      </c>
      <c r="E38" s="140"/>
      <c r="F38" s="107" t="s">
        <v>228</v>
      </c>
      <c r="G38" s="355"/>
      <c r="H38" s="355"/>
      <c r="I38" s="355"/>
      <c r="J38" s="355"/>
      <c r="V38" s="27" t="s">
        <v>229</v>
      </c>
      <c r="W38" s="28"/>
      <c r="X38" s="28"/>
      <c r="Y38" s="29"/>
      <c r="AE38" s="26" t="str">
        <f>C36</f>
        <v>Annen kilde, spesifiser</v>
      </c>
      <c r="AF38" s="38">
        <f>E36*E37*$AF$35/1000</f>
        <v>0</v>
      </c>
      <c r="AG38" s="26" t="s">
        <v>212</v>
      </c>
      <c r="AI38" s="26" t="s">
        <v>230</v>
      </c>
      <c r="AJ38" s="26">
        <f t="shared" ca="1" si="12"/>
        <v>0</v>
      </c>
      <c r="AK38" s="25" t="s">
        <v>231</v>
      </c>
      <c r="AM38" s="9" t="s">
        <v>232</v>
      </c>
      <c r="AN38" s="9">
        <f t="shared" ref="AN38:AN48" si="13">SUMIF($D$19:$D$24,AM38,$E$19:$E$24)+SUMIF($D$19:$D$24,AM38,$G$19:$G$24)</f>
        <v>0</v>
      </c>
      <c r="AO38" s="14">
        <f>IFERROR(Utslippsdata!C114+800/AN38,0)*AN38</f>
        <v>0</v>
      </c>
      <c r="AP38" s="14">
        <f>IFERROR(120+1600/AN38,0)*AN38</f>
        <v>0</v>
      </c>
      <c r="AQ38" s="14">
        <f>IFERROR(145+2500/AN38,0)*AN38</f>
        <v>0</v>
      </c>
      <c r="AR38" s="14">
        <f>IFERROR(175+4100/AN38,0)*AN38</f>
        <v>0</v>
      </c>
      <c r="AS38" s="14">
        <f>IFERROR(205+5800/AN38,0)*AN38</f>
        <v>0</v>
      </c>
      <c r="AT38" s="14">
        <f>IFERROR(250+8000/AN38,0)*AN38</f>
        <v>0</v>
      </c>
    </row>
    <row r="39" spans="3:53">
      <c r="C39" s="107" t="s">
        <v>233</v>
      </c>
      <c r="D39" s="107" t="s">
        <v>234</v>
      </c>
      <c r="E39" s="140"/>
      <c r="F39" s="107" t="s">
        <v>204</v>
      </c>
      <c r="G39" s="355"/>
      <c r="H39" s="355"/>
      <c r="I39" s="355"/>
      <c r="J39" s="355"/>
      <c r="V39" s="26" t="s">
        <v>235</v>
      </c>
      <c r="W39" s="26"/>
      <c r="X39" s="26"/>
      <c r="Y39" s="26" t="s">
        <v>236</v>
      </c>
      <c r="Z39" s="68"/>
      <c r="AA39" s="69" t="s">
        <v>97</v>
      </c>
      <c r="AB39" s="48"/>
      <c r="AE39" s="26" t="str">
        <f>C39</f>
        <v>Levert strøm fra solceller</v>
      </c>
      <c r="AF39" s="38">
        <f>E39*Utslippsdata!C76*$AF$35/1000</f>
        <v>0</v>
      </c>
      <c r="AG39" s="26" t="s">
        <v>212</v>
      </c>
      <c r="AI39" s="26" t="s">
        <v>237</v>
      </c>
      <c r="AJ39" s="26">
        <f t="shared" ca="1" si="12"/>
        <v>0</v>
      </c>
      <c r="AK39" s="25" t="s">
        <v>238</v>
      </c>
      <c r="AM39" s="9" t="s">
        <v>239</v>
      </c>
      <c r="AN39" s="9">
        <f t="shared" si="13"/>
        <v>0</v>
      </c>
      <c r="AO39" s="14">
        <f>IFERROR(85+600/AN39,0)*AN39</f>
        <v>0</v>
      </c>
      <c r="AP39" s="14">
        <f>IFERROR(95+1000/AN39,0)*AN39</f>
        <v>0</v>
      </c>
      <c r="AQ39" s="14">
        <f>IFERROR(110+1500/AN39,0)*AN39</f>
        <v>0</v>
      </c>
      <c r="AR39" s="14">
        <f>IFERROR(135+2200/AN39,0)*AN39</f>
        <v>0</v>
      </c>
      <c r="AS39" s="14">
        <f>IFERROR(160+3000/AN39,0)*AN39</f>
        <v>0</v>
      </c>
      <c r="AT39" s="14">
        <f>IFERROR(200+4000/AN39,0)*AN39</f>
        <v>0</v>
      </c>
    </row>
    <row r="40" spans="3:53">
      <c r="C40" s="109"/>
      <c r="D40" s="109"/>
      <c r="E40" s="109"/>
      <c r="F40" s="109"/>
      <c r="G40" s="109"/>
      <c r="H40" s="109"/>
      <c r="I40" s="109"/>
      <c r="J40" s="109"/>
      <c r="V40" s="26">
        <f>IF(OR(D19=AK135,D20=AK135,D21=AK135,D22=AK135),1,0)</f>
        <v>0</v>
      </c>
      <c r="W40" s="26"/>
      <c r="X40" s="26">
        <v>1.95</v>
      </c>
      <c r="Y40" s="26">
        <f>IF(E30="",X40,E30)</f>
        <v>1.95</v>
      </c>
      <c r="AA40" s="45" t="s">
        <v>240</v>
      </c>
      <c r="AE40" s="26" t="s">
        <v>241</v>
      </c>
      <c r="AF40" s="38">
        <f>E38*(Utslippsdata!B107+Utslippsdata!C107+Utslippsdata!D107+Utslippsdata!E107+Utslippsdata!F107)/1000</f>
        <v>0</v>
      </c>
      <c r="AG40" s="26" t="s">
        <v>212</v>
      </c>
      <c r="AI40" s="26" t="s">
        <v>242</v>
      </c>
      <c r="AJ40" s="26">
        <f t="shared" ca="1" si="12"/>
        <v>0</v>
      </c>
      <c r="AK40" s="25" t="s">
        <v>243</v>
      </c>
      <c r="AM40" s="9" t="s">
        <v>244</v>
      </c>
      <c r="AN40" s="9">
        <f t="shared" si="13"/>
        <v>0</v>
      </c>
      <c r="AO40" s="70">
        <f>$AN40*Utslippsdata!C118</f>
        <v>0</v>
      </c>
      <c r="AP40" s="70">
        <f>$AN40*Utslippsdata!D118</f>
        <v>0</v>
      </c>
      <c r="AQ40" s="70">
        <f>$AN40*Utslippsdata!E118</f>
        <v>0</v>
      </c>
      <c r="AR40" s="70">
        <f>$AN40*Utslippsdata!F118</f>
        <v>0</v>
      </c>
      <c r="AS40" s="70">
        <f>$AN40*Utslippsdata!G118</f>
        <v>0</v>
      </c>
      <c r="AT40" s="70">
        <f>$AN40*Utslippsdata!H118</f>
        <v>0</v>
      </c>
    </row>
    <row r="41" spans="3:53">
      <c r="C41" s="107" t="s">
        <v>245</v>
      </c>
      <c r="D41" s="108" t="s">
        <v>240</v>
      </c>
      <c r="E41" s="109"/>
      <c r="F41" s="109"/>
      <c r="G41" s="109"/>
      <c r="H41" s="109"/>
      <c r="I41" s="109"/>
      <c r="J41" s="109"/>
      <c r="AA41" s="45" t="s">
        <v>246</v>
      </c>
      <c r="AI41" s="26" t="s">
        <v>247</v>
      </c>
      <c r="AJ41" s="26">
        <f t="shared" ca="1" si="12"/>
        <v>0</v>
      </c>
      <c r="AK41" s="25" t="s">
        <v>248</v>
      </c>
      <c r="AM41" s="9" t="s">
        <v>249</v>
      </c>
      <c r="AN41" s="9">
        <f t="shared" si="13"/>
        <v>0</v>
      </c>
      <c r="AO41" s="70">
        <f>$AN41*Utslippsdata!C119</f>
        <v>0</v>
      </c>
      <c r="AP41" s="70">
        <f>$AN41*Utslippsdata!D119</f>
        <v>0</v>
      </c>
      <c r="AQ41" s="70">
        <f>$AN41*Utslippsdata!E119</f>
        <v>0</v>
      </c>
      <c r="AR41" s="70">
        <f>$AN41*Utslippsdata!F119</f>
        <v>0</v>
      </c>
      <c r="AS41" s="70">
        <f>$AN41*Utslippsdata!G119</f>
        <v>0</v>
      </c>
      <c r="AT41" s="70">
        <f>$AN41*Utslippsdata!H119</f>
        <v>0</v>
      </c>
    </row>
    <row r="42" spans="3:53">
      <c r="C42" s="109"/>
      <c r="D42" s="109"/>
      <c r="E42" s="109"/>
      <c r="F42" s="109"/>
      <c r="G42" s="109"/>
      <c r="H42" s="109"/>
      <c r="I42" s="109"/>
      <c r="J42" s="109"/>
      <c r="AA42" s="45" t="s">
        <v>98</v>
      </c>
      <c r="AE42" s="71" t="s">
        <v>250</v>
      </c>
      <c r="AF42" s="71"/>
      <c r="AI42" s="26" t="s">
        <v>251</v>
      </c>
      <c r="AJ42" s="26">
        <f t="shared" ca="1" si="12"/>
        <v>0</v>
      </c>
      <c r="AK42" s="25" t="s">
        <v>252</v>
      </c>
      <c r="AM42" s="9" t="s">
        <v>253</v>
      </c>
      <c r="AN42" s="9">
        <f t="shared" si="13"/>
        <v>0</v>
      </c>
      <c r="AO42" s="70">
        <f>$AN42*Utslippsdata!C120</f>
        <v>0</v>
      </c>
      <c r="AP42" s="70">
        <f>$AN42*Utslippsdata!D120</f>
        <v>0</v>
      </c>
      <c r="AQ42" s="70">
        <f>$AN42*Utslippsdata!E120</f>
        <v>0</v>
      </c>
      <c r="AR42" s="70">
        <f>$AN42*Utslippsdata!F120</f>
        <v>0</v>
      </c>
      <c r="AS42" s="70">
        <f>$AN42*Utslippsdata!G120</f>
        <v>0</v>
      </c>
      <c r="AT42" s="70">
        <f>$AN42*Utslippsdata!H120</f>
        <v>0</v>
      </c>
    </row>
    <row r="43" spans="3:53">
      <c r="C43" s="118" t="s">
        <v>254</v>
      </c>
      <c r="D43" s="118"/>
      <c r="E43" s="118" t="s">
        <v>255</v>
      </c>
      <c r="F43" s="137" t="s">
        <v>90</v>
      </c>
      <c r="G43" s="138"/>
      <c r="H43" s="138"/>
      <c r="I43" s="138"/>
      <c r="J43" s="117"/>
      <c r="AA43" s="72"/>
      <c r="AE43" s="71" t="s">
        <v>256</v>
      </c>
      <c r="AF43" s="71"/>
      <c r="AI43" s="26" t="s">
        <v>257</v>
      </c>
      <c r="AJ43" s="26">
        <f t="shared" ca="1" si="12"/>
        <v>0</v>
      </c>
      <c r="AM43" s="9" t="s">
        <v>258</v>
      </c>
      <c r="AN43" s="9">
        <f t="shared" si="13"/>
        <v>0</v>
      </c>
      <c r="AO43" s="70">
        <f>$AN43*Utslippsdata!C121</f>
        <v>0</v>
      </c>
      <c r="AP43" s="70">
        <f>$AN43*Utslippsdata!D121</f>
        <v>0</v>
      </c>
      <c r="AQ43" s="70">
        <f>$AN43*Utslippsdata!E121</f>
        <v>0</v>
      </c>
      <c r="AR43" s="70">
        <f>$AN43*Utslippsdata!F121</f>
        <v>0</v>
      </c>
      <c r="AS43" s="70">
        <f>$AN43*Utslippsdata!G121</f>
        <v>0</v>
      </c>
      <c r="AT43" s="70">
        <f>$AN43*Utslippsdata!H121</f>
        <v>0</v>
      </c>
    </row>
    <row r="44" spans="3:53" ht="14.25" customHeight="1">
      <c r="C44" s="124" t="s">
        <v>259</v>
      </c>
      <c r="D44" s="133"/>
      <c r="E44" s="108" t="s">
        <v>260</v>
      </c>
      <c r="F44" s="355"/>
      <c r="G44" s="355"/>
      <c r="H44" s="355"/>
      <c r="I44" s="355"/>
      <c r="J44" s="355"/>
      <c r="V44" s="71" t="s">
        <v>261</v>
      </c>
      <c r="AA44" s="72"/>
      <c r="AE44" s="38">
        <f>D54*Utslippsdata!C146</f>
        <v>0</v>
      </c>
      <c r="AF44" s="26" t="s">
        <v>262</v>
      </c>
      <c r="AM44" s="9" t="s">
        <v>263</v>
      </c>
      <c r="AN44" s="9">
        <f t="shared" si="13"/>
        <v>0</v>
      </c>
      <c r="AO44" s="70">
        <f>$AN44*Utslippsdata!C122</f>
        <v>0</v>
      </c>
      <c r="AP44" s="70">
        <f>$AN44*Utslippsdata!D122</f>
        <v>0</v>
      </c>
      <c r="AQ44" s="70">
        <f>$AN44*Utslippsdata!E122</f>
        <v>0</v>
      </c>
      <c r="AR44" s="70">
        <f>$AN44*Utslippsdata!F122</f>
        <v>0</v>
      </c>
      <c r="AS44" s="70">
        <f>$AN44*Utslippsdata!G122</f>
        <v>0</v>
      </c>
      <c r="AT44" s="70">
        <f>$AN44*Utslippsdata!H122</f>
        <v>0</v>
      </c>
    </row>
    <row r="45" spans="3:53">
      <c r="C45" s="14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109"/>
      <c r="E45" s="109"/>
      <c r="F45" s="109"/>
      <c r="G45" s="109"/>
      <c r="H45" s="109"/>
      <c r="I45" s="109"/>
      <c r="J45" s="109"/>
      <c r="V45" s="26" t="s">
        <v>264</v>
      </c>
      <c r="AA45" s="45" t="s">
        <v>265</v>
      </c>
      <c r="AE45" s="38">
        <f>D55*Utslippsdata!C147</f>
        <v>0</v>
      </c>
      <c r="AF45" s="26" t="s">
        <v>262</v>
      </c>
      <c r="AI45" s="25" t="s">
        <v>266</v>
      </c>
      <c r="AJ45" s="25">
        <v>1.95</v>
      </c>
      <c r="AM45" s="9" t="s">
        <v>267</v>
      </c>
      <c r="AN45" s="9">
        <f t="shared" si="13"/>
        <v>0</v>
      </c>
      <c r="AO45" s="70">
        <f>$AN45*Utslippsdata!C123</f>
        <v>0</v>
      </c>
      <c r="AP45" s="70">
        <f>$AN45*Utslippsdata!D123</f>
        <v>0</v>
      </c>
      <c r="AQ45" s="70">
        <f>$AN45*Utslippsdata!E123</f>
        <v>0</v>
      </c>
      <c r="AR45" s="70">
        <f>$AN45*Utslippsdata!F123</f>
        <v>0</v>
      </c>
      <c r="AS45" s="70">
        <f>$AN45*Utslippsdata!G123</f>
        <v>0</v>
      </c>
      <c r="AT45" s="70">
        <f>$AN45*Utslippsdata!H123</f>
        <v>0</v>
      </c>
    </row>
    <row r="46" spans="3:53" ht="15" customHeight="1">
      <c r="C46" s="141" t="str">
        <f>IF(E44=Nei,"","*Hvis ja skal materialutslipp fra solceller, inverter, kabler, festesystem og ballast inkluderes i A1-A3, A4, A5, B1-B5 (antatt 30 år levetid) og C1-C4 inkluderes i resultattabell under")</f>
        <v/>
      </c>
      <c r="D46" s="109"/>
      <c r="E46" s="109"/>
      <c r="F46" s="109"/>
      <c r="G46" s="109"/>
      <c r="H46" s="109"/>
      <c r="I46" s="109"/>
      <c r="J46" s="109"/>
      <c r="V46" s="26">
        <f>IF(E38&gt;0,1,0)</f>
        <v>0</v>
      </c>
      <c r="AA46" s="45" t="s">
        <v>268</v>
      </c>
      <c r="AE46" s="38">
        <f>D56*Utslippsdata!C148</f>
        <v>0</v>
      </c>
      <c r="AF46" s="26" t="s">
        <v>262</v>
      </c>
      <c r="AI46" s="25" t="s">
        <v>269</v>
      </c>
      <c r="AJ46" s="25">
        <f>IF((OR(E30=0,E30="")),AJ45,E30)</f>
        <v>1.95</v>
      </c>
      <c r="AM46" s="9" t="s">
        <v>270</v>
      </c>
      <c r="AN46" s="9">
        <f t="shared" si="13"/>
        <v>0</v>
      </c>
      <c r="AO46" s="70">
        <f>$AN46*Utslippsdata!C124</f>
        <v>0</v>
      </c>
      <c r="AP46" s="70">
        <f>$AN46*Utslippsdata!D124</f>
        <v>0</v>
      </c>
      <c r="AQ46" s="70">
        <f>$AN46*Utslippsdata!E124</f>
        <v>0</v>
      </c>
      <c r="AR46" s="70">
        <f>$AN46*Utslippsdata!F124</f>
        <v>0</v>
      </c>
      <c r="AS46" s="70">
        <f>$AN46*Utslippsdata!G124</f>
        <v>0</v>
      </c>
      <c r="AT46" s="70">
        <f>$AN46*Utslippsdata!H124</f>
        <v>0</v>
      </c>
    </row>
    <row r="47" spans="3:53" ht="15" customHeight="1" thickBot="1">
      <c r="C47" s="109"/>
      <c r="D47" s="109"/>
      <c r="E47" s="109"/>
      <c r="F47" s="109"/>
      <c r="G47" s="109"/>
      <c r="H47" s="109"/>
      <c r="I47" s="109"/>
      <c r="J47" s="109"/>
      <c r="AA47" s="73" t="s">
        <v>260</v>
      </c>
      <c r="AE47" s="38">
        <f>D57*Utslippsdata!C149</f>
        <v>0</v>
      </c>
      <c r="AF47" s="26" t="s">
        <v>262</v>
      </c>
      <c r="AI47"/>
      <c r="AM47" s="9" t="s">
        <v>271</v>
      </c>
      <c r="AN47" s="9">
        <f t="shared" si="13"/>
        <v>0</v>
      </c>
      <c r="AO47" s="70">
        <f>$AN47*Utslippsdata!C125</f>
        <v>0</v>
      </c>
      <c r="AP47" s="70">
        <f>$AN47*Utslippsdata!D125</f>
        <v>0</v>
      </c>
      <c r="AQ47" s="70">
        <f>$AN47*Utslippsdata!E125</f>
        <v>0</v>
      </c>
      <c r="AR47" s="70">
        <f>$AN47*Utslippsdata!F125</f>
        <v>0</v>
      </c>
      <c r="AS47" s="70">
        <f>$AN47*Utslippsdata!G125</f>
        <v>0</v>
      </c>
      <c r="AT47" s="70">
        <f>$AN47*Utslippsdata!H125</f>
        <v>0</v>
      </c>
    </row>
    <row r="48" spans="3:53" ht="15" customHeight="1">
      <c r="C48" s="139" t="s">
        <v>272</v>
      </c>
      <c r="D48" s="389" t="s">
        <v>273</v>
      </c>
      <c r="E48" s="390" t="s">
        <v>274</v>
      </c>
      <c r="F48" s="390" t="s">
        <v>164</v>
      </c>
      <c r="G48" s="390" t="s">
        <v>275</v>
      </c>
      <c r="H48" s="390" t="s">
        <v>90</v>
      </c>
      <c r="I48" s="390"/>
      <c r="J48" s="390"/>
      <c r="AE48" s="194">
        <f>SUM(AE44:AE47)/1000</f>
        <v>0</v>
      </c>
      <c r="AF48" s="66" t="s">
        <v>212</v>
      </c>
      <c r="AI48" s="26" t="s">
        <v>276</v>
      </c>
      <c r="AJ48" s="26">
        <f ca="1">ROUND(AJ35*AJ46+AJ39,0)</f>
        <v>0</v>
      </c>
      <c r="AK48" s="25" t="s">
        <v>238</v>
      </c>
      <c r="AM48" s="9" t="s">
        <v>277</v>
      </c>
      <c r="AN48" s="9">
        <f t="shared" si="13"/>
        <v>0</v>
      </c>
      <c r="AO48" s="70">
        <f>$AN48*Utslippsdata!C126</f>
        <v>0</v>
      </c>
      <c r="AP48" s="70">
        <f>$AN48*Utslippsdata!D126</f>
        <v>0</v>
      </c>
      <c r="AQ48" s="70">
        <f>$AN48*Utslippsdata!E126</f>
        <v>0</v>
      </c>
      <c r="AR48" s="70">
        <f>$AN48*Utslippsdata!F126</f>
        <v>0</v>
      </c>
      <c r="AS48" s="70">
        <f>$AN48*Utslippsdata!G126</f>
        <v>0</v>
      </c>
      <c r="AT48" s="70">
        <f>$AN48*Utslippsdata!H126</f>
        <v>0</v>
      </c>
    </row>
    <row r="49" spans="3:46" ht="14.4">
      <c r="C49" s="118" t="s">
        <v>278</v>
      </c>
      <c r="D49" s="389"/>
      <c r="E49" s="390"/>
      <c r="F49" s="390"/>
      <c r="G49" s="390"/>
      <c r="H49" s="390"/>
      <c r="I49" s="390"/>
      <c r="J49" s="390"/>
      <c r="M49" s="48"/>
      <c r="N49" s="48"/>
      <c r="O49" s="48"/>
      <c r="P49" s="48"/>
      <c r="Q49" s="48"/>
      <c r="R49" s="48"/>
      <c r="S49" s="48"/>
      <c r="T49" s="48"/>
      <c r="U49" s="48"/>
      <c r="AI49"/>
      <c r="AM49" s="74" t="s">
        <v>183</v>
      </c>
      <c r="AN49" s="74"/>
      <c r="AO49" s="75">
        <f t="shared" ref="AO49:AT49" si="14">SUM(AO38:AO48)</f>
        <v>0</v>
      </c>
      <c r="AP49" s="75">
        <f t="shared" si="14"/>
        <v>0</v>
      </c>
      <c r="AQ49" s="75">
        <f t="shared" si="14"/>
        <v>0</v>
      </c>
      <c r="AR49" s="75">
        <f t="shared" si="14"/>
        <v>0</v>
      </c>
      <c r="AS49" s="75">
        <f t="shared" si="14"/>
        <v>0</v>
      </c>
      <c r="AT49" s="75">
        <f t="shared" si="14"/>
        <v>0</v>
      </c>
    </row>
    <row r="50" spans="3:46" ht="14.1">
      <c r="C50" s="107" t="s">
        <v>279</v>
      </c>
      <c r="D50" s="108">
        <v>50</v>
      </c>
      <c r="E50" s="140">
        <v>0</v>
      </c>
      <c r="F50" s="107" t="s">
        <v>280</v>
      </c>
      <c r="G50" s="108" t="s">
        <v>281</v>
      </c>
      <c r="H50" s="355"/>
      <c r="I50" s="355"/>
      <c r="J50" s="355"/>
      <c r="M50" s="48"/>
      <c r="N50" s="48"/>
      <c r="O50" s="48"/>
      <c r="P50" s="48"/>
      <c r="Q50" s="48"/>
      <c r="R50" s="48"/>
      <c r="S50" s="48"/>
      <c r="T50" s="48"/>
      <c r="U50" s="48"/>
      <c r="V50" s="27" t="s">
        <v>282</v>
      </c>
      <c r="W50" s="28"/>
      <c r="X50" s="28"/>
      <c r="Y50" s="28"/>
      <c r="Z50" s="28"/>
      <c r="AA50" s="29"/>
      <c r="AE50" s="71" t="s">
        <v>283</v>
      </c>
      <c r="AF50" s="71"/>
      <c r="AI50" s="26" t="str">
        <f ca="1">AJ34&amp;" "&amp;AK34</f>
        <v xml:space="preserve">0 arbeidsplasser, </v>
      </c>
      <c r="AJ50" s="25" t="str">
        <f ca="1">IF(AJ34=0,"",AI50)</f>
        <v/>
      </c>
      <c r="AM50" s="76" t="s">
        <v>284</v>
      </c>
      <c r="AN50" s="76"/>
      <c r="AO50" s="77">
        <f>AO49*$AM$36*Utslippsdata!$C$76/1000</f>
        <v>0</v>
      </c>
      <c r="AP50" s="77">
        <f>AP49*$AM$36*Utslippsdata!$C$76/1000</f>
        <v>0</v>
      </c>
      <c r="AQ50" s="77">
        <f>AQ49*$AM$36*Utslippsdata!$C$76/1000</f>
        <v>0</v>
      </c>
      <c r="AR50" s="77">
        <f>AR49*$AM$36*Utslippsdata!$C$76/1000</f>
        <v>0</v>
      </c>
      <c r="AS50" s="77">
        <f>AS49*$AM$36*Utslippsdata!$C$76/1000</f>
        <v>0</v>
      </c>
      <c r="AT50" s="77">
        <f>AT49*$AM$36*Utslippsdata!$C$76/1000</f>
        <v>0</v>
      </c>
    </row>
    <row r="51" spans="3:46">
      <c r="C51" s="107" t="s">
        <v>285</v>
      </c>
      <c r="D51" s="108">
        <v>50</v>
      </c>
      <c r="E51" s="140">
        <v>0</v>
      </c>
      <c r="F51" s="107" t="s">
        <v>280</v>
      </c>
      <c r="G51" s="108" t="s">
        <v>281</v>
      </c>
      <c r="H51" s="356"/>
      <c r="I51" s="357"/>
      <c r="J51" s="358"/>
      <c r="N51" s="48"/>
      <c r="V51" s="78">
        <v>1</v>
      </c>
      <c r="W51" s="78">
        <v>2</v>
      </c>
      <c r="X51" s="78">
        <v>3</v>
      </c>
      <c r="Y51" s="78">
        <v>4</v>
      </c>
      <c r="Z51" s="78">
        <v>5</v>
      </c>
      <c r="AE51" s="26">
        <f>D60*(Utslippsdata!C133+Utslippsdata!$C$136)</f>
        <v>0</v>
      </c>
      <c r="AF51" s="26" t="s">
        <v>262</v>
      </c>
      <c r="AI51" s="26" t="str">
        <f ca="1">AJ36&amp;" "&amp;AK36</f>
        <v xml:space="preserve">0 elevplasser, </v>
      </c>
      <c r="AJ51" s="25" t="str">
        <f ca="1">IF(AJ36=0,"",AI51)</f>
        <v/>
      </c>
    </row>
    <row r="52" spans="3:46">
      <c r="C52" s="109"/>
      <c r="D52" s="109"/>
      <c r="E52" s="109"/>
      <c r="F52" s="109"/>
      <c r="G52" s="109"/>
      <c r="H52" s="109"/>
      <c r="I52" s="109"/>
      <c r="J52" s="109"/>
      <c r="N52" s="48"/>
      <c r="V52" s="36" t="s">
        <v>275</v>
      </c>
      <c r="W52" s="36"/>
      <c r="AE52" s="26">
        <f>D61*(Utslippsdata!C134+Utslippsdata!$C$136)</f>
        <v>0</v>
      </c>
      <c r="AF52" s="26" t="s">
        <v>262</v>
      </c>
      <c r="AI52" s="26" t="str">
        <f ca="1">AJ38&amp;" "&amp;AK38</f>
        <v xml:space="preserve">0 beboere på sykehjem, </v>
      </c>
      <c r="AJ52" s="25" t="str">
        <f ca="1">IF(AJ38=0,"",AI52)</f>
        <v/>
      </c>
    </row>
    <row r="53" spans="3:46">
      <c r="C53" s="118" t="s">
        <v>286</v>
      </c>
      <c r="D53" s="118" t="s">
        <v>287</v>
      </c>
      <c r="E53" s="118" t="s">
        <v>164</v>
      </c>
      <c r="F53" s="137" t="s">
        <v>90</v>
      </c>
      <c r="G53" s="138"/>
      <c r="H53" s="138"/>
      <c r="I53" s="138"/>
      <c r="J53" s="117"/>
      <c r="N53" s="48"/>
      <c r="V53" s="26" t="s">
        <v>281</v>
      </c>
      <c r="W53" s="26"/>
      <c r="Z53" s="79">
        <f>Z54</f>
        <v>0.13887096774193547</v>
      </c>
      <c r="AA53" s="26" t="s">
        <v>288</v>
      </c>
      <c r="AE53" s="26">
        <f>D62*(Utslippsdata!C135+Utslippsdata!$C$136)</f>
        <v>0</v>
      </c>
      <c r="AF53" s="26" t="s">
        <v>262</v>
      </c>
      <c r="AI53" s="26" t="str">
        <f ca="1">AJ40&amp;" "&amp;AK40</f>
        <v xml:space="preserve">0 plasser for barn, </v>
      </c>
      <c r="AJ53" s="25" t="str">
        <f ca="1">IF(AJ40=0,"",AI53)</f>
        <v/>
      </c>
    </row>
    <row r="54" spans="3:46">
      <c r="C54" s="107" t="s">
        <v>289</v>
      </c>
      <c r="D54" s="108"/>
      <c r="E54" s="108" t="s">
        <v>228</v>
      </c>
      <c r="F54" s="356"/>
      <c r="G54" s="357"/>
      <c r="H54" s="357"/>
      <c r="I54" s="357"/>
      <c r="J54" s="358"/>
      <c r="N54" s="48"/>
      <c r="V54" s="26" t="s">
        <v>290</v>
      </c>
      <c r="W54" s="26">
        <v>2.87</v>
      </c>
      <c r="X54" s="25" t="s">
        <v>291</v>
      </c>
      <c r="Z54" s="80">
        <f>W59*W54/W58</f>
        <v>0.13887096774193547</v>
      </c>
      <c r="AA54" s="26" t="s">
        <v>288</v>
      </c>
      <c r="AE54" s="26">
        <f>D63*Utslippsdata!C136</f>
        <v>0</v>
      </c>
      <c r="AF54" s="26" t="s">
        <v>262</v>
      </c>
      <c r="AI54" s="26" t="str">
        <f ca="1">AJ41&amp;" "&amp;AK41</f>
        <v xml:space="preserve">0 besøkende pr år, </v>
      </c>
      <c r="AJ54" s="25" t="str">
        <f ca="1">IF(AJ41=0,"",AI54)</f>
        <v/>
      </c>
    </row>
    <row r="55" spans="3:46">
      <c r="C55" s="107" t="s">
        <v>292</v>
      </c>
      <c r="D55" s="108"/>
      <c r="E55" s="108" t="s">
        <v>228</v>
      </c>
      <c r="F55" s="356"/>
      <c r="G55" s="357"/>
      <c r="H55" s="357"/>
      <c r="I55" s="357"/>
      <c r="J55" s="358"/>
      <c r="N55" s="48"/>
      <c r="V55" s="26" t="s">
        <v>293</v>
      </c>
      <c r="W55" s="26"/>
      <c r="Z55" s="80">
        <f>W59*W60*Utslippsdata!C78/W58</f>
        <v>5.0112597937020005E-3</v>
      </c>
      <c r="AA55" s="26" t="s">
        <v>288</v>
      </c>
      <c r="AE55" s="26">
        <f>D64*Utslippsdata!C140</f>
        <v>0</v>
      </c>
      <c r="AF55" s="26" t="s">
        <v>262</v>
      </c>
      <c r="AI55" s="26" t="str">
        <f ca="1">AJ42&amp;" "&amp;AK42</f>
        <v xml:space="preserve">0 hotellsenger, </v>
      </c>
      <c r="AJ55" s="25" t="str">
        <f ca="1">IF(AJ42=0,"",AI55)</f>
        <v/>
      </c>
    </row>
    <row r="56" spans="3:46">
      <c r="C56" s="107" t="s">
        <v>294</v>
      </c>
      <c r="D56" s="108"/>
      <c r="E56" s="108" t="s">
        <v>228</v>
      </c>
      <c r="F56" s="356"/>
      <c r="G56" s="357"/>
      <c r="H56" s="357"/>
      <c r="I56" s="357"/>
      <c r="J56" s="358"/>
      <c r="N56" s="48"/>
      <c r="V56" s="26" t="s">
        <v>295</v>
      </c>
      <c r="W56" s="26">
        <v>1.462518</v>
      </c>
      <c r="X56" s="25" t="s">
        <v>296</v>
      </c>
      <c r="Z56" s="80">
        <f>W61*W63*W56/W58</f>
        <v>7.2654119999999989E-2</v>
      </c>
      <c r="AA56" s="26" t="s">
        <v>288</v>
      </c>
      <c r="AE56" s="26">
        <f>D65*Utslippsdata!C141</f>
        <v>0</v>
      </c>
      <c r="AF56" s="26" t="s">
        <v>262</v>
      </c>
      <c r="AI56" s="200" t="str">
        <f ca="1">AJ48&amp;" "&amp;AK48</f>
        <v xml:space="preserve">0 bosatte, </v>
      </c>
      <c r="AJ56" s="25" t="str">
        <f ca="1">IF(AJ48=0,"",AI56)</f>
        <v/>
      </c>
      <c r="AN56" s="27" t="s">
        <v>297</v>
      </c>
      <c r="AO56" s="28"/>
      <c r="AP56" s="28"/>
      <c r="AQ56" s="28"/>
      <c r="AR56" s="29"/>
    </row>
    <row r="57" spans="3:46">
      <c r="C57" s="107" t="s">
        <v>298</v>
      </c>
      <c r="D57" s="108"/>
      <c r="E57" s="108" t="s">
        <v>228</v>
      </c>
      <c r="F57" s="356"/>
      <c r="G57" s="357"/>
      <c r="H57" s="357"/>
      <c r="I57" s="357"/>
      <c r="J57" s="358"/>
      <c r="N57" s="48"/>
      <c r="AE57" s="26">
        <f>D66*Utslippsdata!C142</f>
        <v>0</v>
      </c>
      <c r="AF57" s="26" t="s">
        <v>262</v>
      </c>
      <c r="AI57" s="74" t="str">
        <f ca="1">AJ50&amp;AJ51&amp;AJ52&amp;AJ53&amp;AJ54&amp;AJ55&amp;AJ56</f>
        <v/>
      </c>
      <c r="AJ57" s="74"/>
    </row>
    <row r="58" spans="3:46" ht="14.1">
      <c r="C58" s="109"/>
      <c r="D58" s="109"/>
      <c r="E58" s="109"/>
      <c r="F58" s="109"/>
      <c r="G58" s="109"/>
      <c r="H58" s="109"/>
      <c r="I58" s="109"/>
      <c r="J58" s="109"/>
      <c r="N58" s="48"/>
      <c r="V58" s="26" t="s">
        <v>299</v>
      </c>
      <c r="W58" s="26">
        <v>9.3000000000000007</v>
      </c>
      <c r="X58" s="26" t="s">
        <v>300</v>
      </c>
      <c r="AE58" s="66">
        <f>SUM(AE51:AE57)/1000</f>
        <v>0</v>
      </c>
      <c r="AF58" s="66" t="s">
        <v>212</v>
      </c>
      <c r="AI58" s="74">
        <f ca="1">AJ34+AJ36+AJ38+AJ40+AJ41+AJ42+AJ48</f>
        <v>0</v>
      </c>
      <c r="AJ58" s="74" t="s">
        <v>301</v>
      </c>
    </row>
    <row r="59" spans="3:46">
      <c r="C59" s="118" t="s">
        <v>302</v>
      </c>
      <c r="D59" s="118" t="s">
        <v>303</v>
      </c>
      <c r="E59" s="118" t="s">
        <v>164</v>
      </c>
      <c r="F59" s="137" t="s">
        <v>90</v>
      </c>
      <c r="G59" s="138"/>
      <c r="H59" s="138"/>
      <c r="I59" s="138"/>
      <c r="J59" s="117"/>
      <c r="N59" s="48"/>
      <c r="V59" s="26" t="s">
        <v>304</v>
      </c>
      <c r="W59" s="26">
        <f>0.45</f>
        <v>0.45</v>
      </c>
      <c r="X59" s="26" t="s">
        <v>305</v>
      </c>
      <c r="Y59" s="26" t="s">
        <v>306</v>
      </c>
      <c r="Z59" s="26" t="s">
        <v>307</v>
      </c>
    </row>
    <row r="60" spans="3:46">
      <c r="C60" s="107" t="s">
        <v>308</v>
      </c>
      <c r="D60" s="108"/>
      <c r="E60" s="108" t="s">
        <v>228</v>
      </c>
      <c r="F60" s="356"/>
      <c r="G60" s="357"/>
      <c r="H60" s="357"/>
      <c r="I60" s="357"/>
      <c r="J60" s="358"/>
      <c r="N60" s="48"/>
      <c r="V60" s="26" t="s">
        <v>309</v>
      </c>
      <c r="W60" s="26">
        <v>4.2888888888888896</v>
      </c>
      <c r="X60" s="26" t="s">
        <v>310</v>
      </c>
      <c r="Y60" s="26"/>
      <c r="Z60" s="26"/>
    </row>
    <row r="61" spans="3:46">
      <c r="C61" s="107" t="s">
        <v>311</v>
      </c>
      <c r="D61" s="108"/>
      <c r="E61" s="108" t="s">
        <v>228</v>
      </c>
      <c r="F61" s="356"/>
      <c r="G61" s="357"/>
      <c r="H61" s="357"/>
      <c r="I61" s="357"/>
      <c r="J61" s="358"/>
      <c r="N61" s="48"/>
      <c r="V61" s="26" t="s">
        <v>312</v>
      </c>
      <c r="W61" s="26">
        <v>0.7</v>
      </c>
      <c r="X61" s="26" t="s">
        <v>313</v>
      </c>
      <c r="Y61" s="26" t="s">
        <v>314</v>
      </c>
      <c r="Z61" s="26" t="s">
        <v>315</v>
      </c>
    </row>
    <row r="62" spans="3:46">
      <c r="C62" s="107" t="s">
        <v>316</v>
      </c>
      <c r="D62" s="108"/>
      <c r="E62" s="108" t="s">
        <v>228</v>
      </c>
      <c r="F62" s="356"/>
      <c r="G62" s="357"/>
      <c r="H62" s="357"/>
      <c r="I62" s="357"/>
      <c r="J62" s="358"/>
      <c r="N62" s="48"/>
      <c r="V62" s="26" t="s">
        <v>312</v>
      </c>
      <c r="W62" s="26">
        <f>623251/1080000</f>
        <v>0.57708425925925921</v>
      </c>
      <c r="X62" s="26" t="s">
        <v>313</v>
      </c>
      <c r="Y62" s="26" t="s">
        <v>317</v>
      </c>
      <c r="Z62" s="26"/>
    </row>
    <row r="63" spans="3:46">
      <c r="C63" s="107" t="s">
        <v>318</v>
      </c>
      <c r="D63" s="108"/>
      <c r="E63" s="108" t="s">
        <v>228</v>
      </c>
      <c r="F63" s="356"/>
      <c r="G63" s="357"/>
      <c r="H63" s="357"/>
      <c r="I63" s="357"/>
      <c r="J63" s="358"/>
      <c r="N63" s="48"/>
      <c r="V63" s="26" t="s">
        <v>295</v>
      </c>
      <c r="W63" s="26">
        <v>0.66</v>
      </c>
      <c r="X63" s="26" t="s">
        <v>319</v>
      </c>
      <c r="Y63" s="26" t="s">
        <v>317</v>
      </c>
      <c r="Z63" s="26"/>
      <c r="AI63" s="25" t="str">
        <f>AJ47&amp;" "&amp;AK47</f>
        <v xml:space="preserve"> </v>
      </c>
    </row>
    <row r="64" spans="3:46">
      <c r="C64" s="107" t="s">
        <v>320</v>
      </c>
      <c r="D64" s="108"/>
      <c r="E64" s="108" t="s">
        <v>301</v>
      </c>
      <c r="F64" s="356"/>
      <c r="G64" s="357"/>
      <c r="H64" s="357"/>
      <c r="I64" s="357"/>
      <c r="J64" s="358"/>
      <c r="N64" s="48"/>
    </row>
    <row r="65" spans="3:38">
      <c r="C65" s="107" t="s">
        <v>321</v>
      </c>
      <c r="D65" s="108"/>
      <c r="E65" s="108" t="s">
        <v>301</v>
      </c>
      <c r="F65" s="356"/>
      <c r="G65" s="357"/>
      <c r="H65" s="357"/>
      <c r="I65" s="357"/>
      <c r="J65" s="358"/>
      <c r="N65" s="48"/>
      <c r="V65" s="334" t="s">
        <v>322</v>
      </c>
      <c r="W65" s="334"/>
      <c r="X65" s="334"/>
      <c r="Y65" s="334"/>
      <c r="Z65" s="334"/>
    </row>
    <row r="66" spans="3:38">
      <c r="C66" s="107" t="s">
        <v>323</v>
      </c>
      <c r="D66" s="108"/>
      <c r="E66" s="108" t="s">
        <v>301</v>
      </c>
      <c r="F66" s="356"/>
      <c r="G66" s="357"/>
      <c r="H66" s="357"/>
      <c r="I66" s="357"/>
      <c r="J66" s="358"/>
      <c r="N66" s="48"/>
      <c r="V66" s="26" t="s">
        <v>324</v>
      </c>
      <c r="W66" s="26" t="s">
        <v>325</v>
      </c>
      <c r="X66" s="26" t="s">
        <v>31</v>
      </c>
      <c r="Y66" s="26" t="s">
        <v>326</v>
      </c>
      <c r="Z66" s="26"/>
    </row>
    <row r="67" spans="3:38">
      <c r="G67" s="294"/>
      <c r="H67" s="294"/>
      <c r="I67" s="294"/>
      <c r="J67" s="294"/>
      <c r="N67" s="48"/>
      <c r="V67" s="26">
        <v>50</v>
      </c>
      <c r="W67" s="26">
        <v>2</v>
      </c>
      <c r="X67" s="70">
        <f>E50*V67*W67*Z54/1000</f>
        <v>0</v>
      </c>
      <c r="Y67" s="70">
        <f>E50*V67*W67*VLOOKUP(G50,$V$53:$Z$56,$Z$51,FALSE)/1000</f>
        <v>0</v>
      </c>
      <c r="Z67" s="26" t="s">
        <v>327</v>
      </c>
    </row>
    <row r="68" spans="3:38">
      <c r="G68" s="294"/>
      <c r="H68" s="294"/>
      <c r="I68" s="294"/>
      <c r="J68" s="294"/>
      <c r="V68" s="26">
        <v>50</v>
      </c>
      <c r="W68" s="26">
        <v>2</v>
      </c>
      <c r="X68" s="70">
        <f>E51*V68*W68*Z54/1000</f>
        <v>0</v>
      </c>
      <c r="Y68" s="70">
        <f>E51*V68*W68*VLOOKUP(G51,$V$53:$Z$56,$Z$51,FALSE)/1000</f>
        <v>0</v>
      </c>
      <c r="Z68" s="26" t="s">
        <v>327</v>
      </c>
    </row>
    <row r="69" spans="3:38" hidden="1">
      <c r="C69" s="2"/>
      <c r="D69" s="2"/>
      <c r="E69" s="2"/>
      <c r="F69" s="2"/>
      <c r="G69" s="362"/>
      <c r="H69" s="362"/>
      <c r="I69" s="362"/>
      <c r="J69" s="362"/>
      <c r="X69" s="81">
        <f>X67+X68</f>
        <v>0</v>
      </c>
      <c r="Y69" s="81">
        <f>Y67+Y68</f>
        <v>0</v>
      </c>
      <c r="Z69" s="26" t="s">
        <v>327</v>
      </c>
    </row>
    <row r="70" spans="3:38" hidden="1"/>
    <row r="71" spans="3:38" hidden="1"/>
    <row r="72" spans="3:38" hidden="1"/>
    <row r="73" spans="3:38" hidden="1"/>
    <row r="74" spans="3:38" hidden="1"/>
    <row r="76" spans="3:38" ht="24.9">
      <c r="C76" s="23" t="s">
        <v>428</v>
      </c>
    </row>
    <row r="77" spans="3:38">
      <c r="X77" s="2"/>
      <c r="Y77" s="2"/>
      <c r="Z77" s="2"/>
      <c r="AA77" s="2"/>
      <c r="AB77" s="2"/>
      <c r="AC77" s="2"/>
      <c r="AD77" s="2"/>
      <c r="AE77" s="2"/>
    </row>
    <row r="78" spans="3:38" ht="15" customHeight="1">
      <c r="C78" s="374" t="s">
        <v>329</v>
      </c>
      <c r="D78" s="363" t="str">
        <f>"Tonn CO2 ekv, "&amp;VLOOKUP('Generelt om prosjektet'!C25,'Generelt om prosjektet'!W25:X28,2,FALSE)&amp;". Klimagassutslippene er oppgit uten hensyn til binding av biogent karbon."</f>
        <v>Tonn CO2 ekv, GWP. Klimagassutslippene er oppgit uten hensyn til binding av biogent karbon.</v>
      </c>
      <c r="E78" s="364"/>
      <c r="F78" s="364"/>
      <c r="G78" s="364"/>
      <c r="H78" s="376" t="s">
        <v>330</v>
      </c>
      <c r="I78" s="142" t="s">
        <v>90</v>
      </c>
      <c r="J78" s="143"/>
      <c r="K78" s="143"/>
      <c r="L78" s="144"/>
      <c r="V78" s="48" t="s">
        <v>331</v>
      </c>
      <c r="AB78" s="2"/>
      <c r="AC78" s="2"/>
      <c r="AD78" s="2"/>
      <c r="AE78" s="2"/>
    </row>
    <row r="79" spans="3:38" ht="45" customHeight="1">
      <c r="C79" s="375"/>
      <c r="D79" s="145" t="s">
        <v>332</v>
      </c>
      <c r="E79" s="146" t="s">
        <v>333</v>
      </c>
      <c r="F79" s="146" t="s">
        <v>334</v>
      </c>
      <c r="G79" s="147" t="s">
        <v>183</v>
      </c>
      <c r="H79" s="377"/>
      <c r="I79" s="148"/>
      <c r="J79" s="149"/>
      <c r="K79" s="149"/>
      <c r="L79" s="150"/>
      <c r="V79" s="84" t="s">
        <v>31</v>
      </c>
      <c r="W79" s="84" t="s">
        <v>335</v>
      </c>
      <c r="X79" s="84" t="s">
        <v>336</v>
      </c>
      <c r="Y79" s="84" t="s">
        <v>337</v>
      </c>
      <c r="Z79" s="84" t="s">
        <v>338</v>
      </c>
      <c r="AB79" s="2"/>
      <c r="AC79" s="2"/>
      <c r="AD79" s="2"/>
      <c r="AE79" s="2"/>
    </row>
    <row r="80" spans="3:38" ht="30" customHeight="1">
      <c r="C80" s="110" t="s">
        <v>339</v>
      </c>
      <c r="D80" s="151"/>
      <c r="E80" s="140"/>
      <c r="F80" s="152"/>
      <c r="G80" s="153">
        <f>E80</f>
        <v>0</v>
      </c>
      <c r="H80" s="195">
        <f>IF(G93=0,0,IF(G80=0,0.1,G80))</f>
        <v>0</v>
      </c>
      <c r="I80" s="365"/>
      <c r="J80" s="366"/>
      <c r="K80" s="366"/>
      <c r="L80" s="367"/>
      <c r="U80" s="196">
        <f>G80</f>
        <v>0</v>
      </c>
      <c r="V80" s="85">
        <f>SUM(BB19:BB24)/1000</f>
        <v>0</v>
      </c>
      <c r="W80" s="86" t="s">
        <v>340</v>
      </c>
      <c r="X80" s="26" t="s">
        <v>341</v>
      </c>
      <c r="Y80" s="86" t="s">
        <v>342</v>
      </c>
      <c r="Z80" s="26" t="s">
        <v>341</v>
      </c>
      <c r="AH80" s="15" t="s">
        <v>30</v>
      </c>
      <c r="AI80" s="70">
        <f>G80</f>
        <v>0</v>
      </c>
      <c r="AJ80" s="87">
        <f>V80</f>
        <v>0</v>
      </c>
      <c r="AK80" s="88">
        <f>IFERROR(AI80/AJ80,0)</f>
        <v>0</v>
      </c>
      <c r="AL80" s="26"/>
    </row>
    <row r="81" spans="3:38" ht="15" customHeight="1">
      <c r="C81" s="154" t="s">
        <v>343</v>
      </c>
      <c r="D81" s="140"/>
      <c r="E81" s="140"/>
      <c r="F81" s="151"/>
      <c r="G81" s="153">
        <f>D81+E81</f>
        <v>0</v>
      </c>
      <c r="H81" s="22">
        <f>IFERROR(G81/V81,1)</f>
        <v>1</v>
      </c>
      <c r="I81" s="359"/>
      <c r="J81" s="360"/>
      <c r="K81" s="360"/>
      <c r="L81" s="361"/>
      <c r="U81" s="196">
        <f>G81</f>
        <v>0</v>
      </c>
      <c r="V81" s="89">
        <f>(AN25+AS25+AO25+AT25)/1000</f>
        <v>0</v>
      </c>
      <c r="W81" s="90">
        <v>1.1000000000000001</v>
      </c>
      <c r="X81" s="90">
        <v>0.9</v>
      </c>
      <c r="Y81" s="90">
        <v>0.1</v>
      </c>
      <c r="Z81" s="91">
        <v>0</v>
      </c>
      <c r="AH81" s="15" t="s">
        <v>32</v>
      </c>
      <c r="AI81" s="70">
        <f>G81</f>
        <v>0</v>
      </c>
      <c r="AJ81" s="70">
        <f>V81</f>
        <v>0</v>
      </c>
      <c r="AK81" s="88">
        <f>IFERROR(AI81/AJ81,0)</f>
        <v>0</v>
      </c>
      <c r="AL81" s="26"/>
    </row>
    <row r="82" spans="3:38">
      <c r="C82" s="107" t="s">
        <v>344</v>
      </c>
      <c r="D82" s="140"/>
      <c r="E82" s="140"/>
      <c r="F82" s="140"/>
      <c r="G82" s="153">
        <f>D82+E82+F82</f>
        <v>0</v>
      </c>
      <c r="H82" s="22">
        <f>IFERROR(G82/V82,1)</f>
        <v>1</v>
      </c>
      <c r="I82" s="368"/>
      <c r="J82" s="369"/>
      <c r="K82" s="369"/>
      <c r="L82" s="370"/>
      <c r="U82" s="196">
        <f>G82</f>
        <v>0</v>
      </c>
      <c r="V82" s="89">
        <f>(SUM(AN19:AN24)+SUM(AS19:AS24))/1000</f>
        <v>0</v>
      </c>
      <c r="W82" s="90">
        <v>1.1000000000000001</v>
      </c>
      <c r="X82" s="90">
        <v>0.9</v>
      </c>
      <c r="Y82" s="90">
        <v>0.1</v>
      </c>
      <c r="Z82" s="91">
        <v>0</v>
      </c>
      <c r="AH82" s="9" t="s">
        <v>35</v>
      </c>
      <c r="AI82" s="70">
        <f>G82+G83+G89+G92</f>
        <v>0</v>
      </c>
      <c r="AJ82" s="70">
        <f>V82+V83+V89</f>
        <v>0</v>
      </c>
      <c r="AK82" s="88">
        <f>IFERROR(AI82/AJ82,0)</f>
        <v>0</v>
      </c>
      <c r="AL82" s="26"/>
    </row>
    <row r="83" spans="3:38">
      <c r="C83" s="107" t="s">
        <v>345</v>
      </c>
      <c r="D83" s="140"/>
      <c r="E83" s="140"/>
      <c r="F83" s="140"/>
      <c r="G83" s="153">
        <f>D83+E83+F83</f>
        <v>0</v>
      </c>
      <c r="H83" s="22">
        <f>IFERROR(G83/V83,1)</f>
        <v>1</v>
      </c>
      <c r="I83" s="359"/>
      <c r="J83" s="360"/>
      <c r="K83" s="360"/>
      <c r="L83" s="361"/>
      <c r="U83" s="196">
        <f>G83</f>
        <v>0</v>
      </c>
      <c r="V83" s="89">
        <f>(SUM(AO19:AO24)+SUM(AT19:AT24))/1000</f>
        <v>0</v>
      </c>
      <c r="W83" s="90">
        <v>1.1000000000000001</v>
      </c>
      <c r="X83" s="90">
        <v>0.9</v>
      </c>
      <c r="Y83" s="90">
        <v>0.1</v>
      </c>
      <c r="Z83" s="91">
        <v>0</v>
      </c>
      <c r="AH83" s="9" t="s">
        <v>37</v>
      </c>
      <c r="AI83" s="70">
        <f>G84+G85+G86</f>
        <v>0</v>
      </c>
      <c r="AJ83" s="70">
        <f>V84+V85+V86</f>
        <v>0</v>
      </c>
      <c r="AK83" s="88">
        <f>IFERROR((AI83-G85)/AJ83,0)</f>
        <v>0</v>
      </c>
      <c r="AL83" s="26"/>
    </row>
    <row r="84" spans="3:38">
      <c r="C84" s="154" t="s">
        <v>346</v>
      </c>
      <c r="D84" s="140"/>
      <c r="E84" s="140"/>
      <c r="F84" s="140"/>
      <c r="G84" s="153">
        <f>D84+E84+F84</f>
        <v>0</v>
      </c>
      <c r="H84" s="22">
        <f>IFERROR(G84/V84,1)</f>
        <v>1</v>
      </c>
      <c r="I84" s="359"/>
      <c r="J84" s="360"/>
      <c r="K84" s="360"/>
      <c r="L84" s="361"/>
      <c r="U84" s="196">
        <f>G84</f>
        <v>0</v>
      </c>
      <c r="V84" s="89">
        <f>(SUM(AP19:AP25)+SUM(AU19:AU25))/1000</f>
        <v>0</v>
      </c>
      <c r="W84" s="90">
        <v>1.1000000000000001</v>
      </c>
      <c r="X84" s="90">
        <v>0.9</v>
      </c>
      <c r="Y84" s="90">
        <v>0.1</v>
      </c>
      <c r="Z84" s="91">
        <v>0</v>
      </c>
      <c r="AH84" s="9" t="s">
        <v>39</v>
      </c>
      <c r="AI84" s="70">
        <f>G90</f>
        <v>0</v>
      </c>
      <c r="AJ84" s="70">
        <f>V90</f>
        <v>0</v>
      </c>
      <c r="AK84" s="88">
        <f>IFERROR(AI84/AJ84,0)</f>
        <v>0</v>
      </c>
      <c r="AL84" s="26"/>
    </row>
    <row r="85" spans="3:38">
      <c r="C85" s="154" t="s">
        <v>347</v>
      </c>
      <c r="D85" s="371"/>
      <c r="E85" s="372"/>
      <c r="F85" s="373"/>
      <c r="G85" s="153">
        <f>D85</f>
        <v>0</v>
      </c>
      <c r="H85" s="155" t="s">
        <v>341</v>
      </c>
      <c r="I85" s="359"/>
      <c r="J85" s="360"/>
      <c r="K85" s="360"/>
      <c r="L85" s="361"/>
      <c r="U85" s="196"/>
      <c r="V85" s="92"/>
      <c r="AH85" s="9" t="s">
        <v>41</v>
      </c>
      <c r="AI85" s="70">
        <f>G87+G88</f>
        <v>0</v>
      </c>
      <c r="AJ85" s="70">
        <f>V87+V88</f>
        <v>0</v>
      </c>
      <c r="AK85" s="88">
        <f>IFERROR(AI85/AJ85,0)</f>
        <v>0</v>
      </c>
      <c r="AL85" s="26"/>
    </row>
    <row r="86" spans="3:38">
      <c r="C86" s="154" t="s">
        <v>348</v>
      </c>
      <c r="D86" s="316">
        <f>Y69</f>
        <v>0</v>
      </c>
      <c r="E86" s="317"/>
      <c r="F86" s="318"/>
      <c r="G86" s="153">
        <f>D86</f>
        <v>0</v>
      </c>
      <c r="H86" s="22">
        <f>IFERROR(G86/V86,1)</f>
        <v>1</v>
      </c>
      <c r="I86" s="368"/>
      <c r="J86" s="369"/>
      <c r="K86" s="369"/>
      <c r="L86" s="370"/>
      <c r="U86" s="196">
        <f>G86</f>
        <v>0</v>
      </c>
      <c r="V86" s="89">
        <f>X69</f>
        <v>0</v>
      </c>
      <c r="W86" s="90">
        <v>1.1000000000000001</v>
      </c>
      <c r="X86" s="90">
        <v>0.9</v>
      </c>
      <c r="Y86" s="90">
        <v>0</v>
      </c>
      <c r="Z86" s="86" t="s">
        <v>341</v>
      </c>
      <c r="AH86" s="9" t="s">
        <v>43</v>
      </c>
      <c r="AI86" s="70">
        <f>G91</f>
        <v>0</v>
      </c>
      <c r="AJ86" s="70">
        <f>V91</f>
        <v>0</v>
      </c>
      <c r="AK86" s="88">
        <f>IFERROR(AI86/AJ86,0)</f>
        <v>0</v>
      </c>
      <c r="AL86" s="26"/>
    </row>
    <row r="87" spans="3:38" ht="15" customHeight="1">
      <c r="C87" s="154" t="s">
        <v>349</v>
      </c>
      <c r="D87" s="316">
        <f>AE48</f>
        <v>0</v>
      </c>
      <c r="E87" s="317"/>
      <c r="F87" s="318"/>
      <c r="G87" s="153">
        <f t="shared" ref="G87:G93" si="15">D87+E87+F87</f>
        <v>0</v>
      </c>
      <c r="H87" s="402">
        <f>V87</f>
        <v>0</v>
      </c>
      <c r="I87" s="359"/>
      <c r="J87" s="360"/>
      <c r="K87" s="360"/>
      <c r="L87" s="361"/>
      <c r="U87" s="196">
        <f>G87+G88</f>
        <v>0</v>
      </c>
      <c r="V87" s="70">
        <f>(G87+G88)</f>
        <v>0</v>
      </c>
      <c r="W87" s="93" t="s">
        <v>350</v>
      </c>
      <c r="X87" s="93" t="s">
        <v>351</v>
      </c>
      <c r="Y87" s="93" t="s">
        <v>352</v>
      </c>
      <c r="Z87" s="86" t="s">
        <v>341</v>
      </c>
      <c r="AH87" s="26"/>
      <c r="AI87" s="70">
        <f>SUM(AI80:AI86)</f>
        <v>0</v>
      </c>
      <c r="AJ87" s="26"/>
      <c r="AK87" s="88"/>
      <c r="AL87" s="26"/>
    </row>
    <row r="88" spans="3:38" ht="15" customHeight="1">
      <c r="C88" s="154" t="s">
        <v>353</v>
      </c>
      <c r="D88" s="319">
        <f>AE58</f>
        <v>0</v>
      </c>
      <c r="E88" s="320"/>
      <c r="F88" s="321"/>
      <c r="G88" s="153">
        <f t="shared" si="15"/>
        <v>0</v>
      </c>
      <c r="H88" s="403"/>
      <c r="I88" s="365"/>
      <c r="J88" s="366"/>
      <c r="K88" s="366"/>
      <c r="L88" s="367"/>
      <c r="U88" s="196"/>
      <c r="V88" s="70"/>
      <c r="W88" s="93" t="s">
        <v>350</v>
      </c>
      <c r="X88" s="93" t="s">
        <v>351</v>
      </c>
      <c r="Y88" s="93" t="s">
        <v>352</v>
      </c>
      <c r="Z88" s="86" t="s">
        <v>341</v>
      </c>
    </row>
    <row r="89" spans="3:38">
      <c r="C89" s="107" t="str">
        <f>"B1-B5, Drift og vedlikehold, "&amp;'Generelt om prosjektet'!C24&amp;" år"</f>
        <v>B1-B5, Drift og vedlikehold, 50 år</v>
      </c>
      <c r="D89" s="140"/>
      <c r="E89" s="140"/>
      <c r="F89" s="140"/>
      <c r="G89" s="153">
        <f t="shared" si="15"/>
        <v>0</v>
      </c>
      <c r="H89" s="22">
        <f>IFERROR(G89/V89,1)</f>
        <v>1</v>
      </c>
      <c r="I89" s="368"/>
      <c r="J89" s="369"/>
      <c r="K89" s="369"/>
      <c r="L89" s="370"/>
      <c r="U89" s="196">
        <f>G89</f>
        <v>0</v>
      </c>
      <c r="V89" s="89">
        <f>(SUM(AQ19:AQ24)+SUM(AV19:AV24))/1000</f>
        <v>0</v>
      </c>
      <c r="W89" s="90">
        <v>1.1000000000000001</v>
      </c>
      <c r="X89" s="90">
        <v>0.9</v>
      </c>
      <c r="Y89" s="90">
        <v>0.1</v>
      </c>
      <c r="Z89" s="91">
        <v>0</v>
      </c>
    </row>
    <row r="90" spans="3:38">
      <c r="C90" s="107" t="str">
        <f>"B6: Energi i drift, "&amp;'Generelt om prosjektet'!C24&amp;" år"</f>
        <v>B6: Energi i drift, 50 år</v>
      </c>
      <c r="D90" s="319">
        <f>SUM(AF36:AF39)</f>
        <v>0</v>
      </c>
      <c r="E90" s="320"/>
      <c r="F90" s="321"/>
      <c r="G90" s="153">
        <f t="shared" si="15"/>
        <v>0</v>
      </c>
      <c r="H90" s="22">
        <f>IFERROR(G90/V90,1)</f>
        <v>1</v>
      </c>
      <c r="I90" s="359"/>
      <c r="J90" s="360"/>
      <c r="K90" s="360"/>
      <c r="L90" s="361"/>
      <c r="U90" s="196">
        <f>G90</f>
        <v>0</v>
      </c>
      <c r="V90" s="89">
        <f>AQ50</f>
        <v>0</v>
      </c>
      <c r="W90" s="90">
        <v>1.1000000000000001</v>
      </c>
      <c r="X90" s="90">
        <v>0.9</v>
      </c>
      <c r="Y90" s="90">
        <v>0.1</v>
      </c>
      <c r="Z90" s="91">
        <v>0</v>
      </c>
    </row>
    <row r="91" spans="3:38">
      <c r="C91" s="154" t="s">
        <v>354</v>
      </c>
      <c r="D91" s="156"/>
      <c r="E91" s="156"/>
      <c r="F91" s="156"/>
      <c r="G91" s="153">
        <f t="shared" si="15"/>
        <v>0</v>
      </c>
      <c r="H91" s="22">
        <f>IFERROR(G91/V91,1)</f>
        <v>1</v>
      </c>
      <c r="I91" s="359"/>
      <c r="J91" s="360"/>
      <c r="K91" s="360"/>
      <c r="L91" s="361"/>
      <c r="U91" s="196">
        <f>G91</f>
        <v>0</v>
      </c>
      <c r="V91" s="89">
        <f>(SUM(AR19:AR25)+SUM(AW19:AW25))/1000</f>
        <v>0</v>
      </c>
      <c r="W91" s="90">
        <v>1.1000000000000001</v>
      </c>
      <c r="X91" s="90">
        <v>0.9</v>
      </c>
      <c r="Y91" s="90">
        <v>0.4</v>
      </c>
      <c r="Z91" s="91">
        <v>0</v>
      </c>
    </row>
    <row r="92" spans="3:38">
      <c r="C92" s="154" t="s">
        <v>355</v>
      </c>
      <c r="D92" s="152">
        <f>IF(E44=Nei,AF40,0)</f>
        <v>0</v>
      </c>
      <c r="E92" s="152"/>
      <c r="F92" s="152"/>
      <c r="G92" s="153">
        <f t="shared" si="15"/>
        <v>0</v>
      </c>
      <c r="H92" s="157" t="s">
        <v>341</v>
      </c>
      <c r="I92" s="359"/>
      <c r="J92" s="360"/>
      <c r="K92" s="360"/>
      <c r="L92" s="361"/>
      <c r="U92" s="196"/>
      <c r="V92" s="92"/>
      <c r="W92" s="94"/>
      <c r="X92" s="94"/>
      <c r="Y92" s="94"/>
    </row>
    <row r="93" spans="3:38">
      <c r="C93" s="172" t="s">
        <v>356</v>
      </c>
      <c r="D93" s="165">
        <f>SUM(D80:D92)</f>
        <v>0</v>
      </c>
      <c r="E93" s="165">
        <f>SUM(E80:E92)</f>
        <v>0</v>
      </c>
      <c r="F93" s="165">
        <f>SUM(F80:F92)</f>
        <v>0</v>
      </c>
      <c r="G93" s="165">
        <f t="shared" si="15"/>
        <v>0</v>
      </c>
      <c r="H93" s="210">
        <f>IFERROR(U93/V93,0)</f>
        <v>0</v>
      </c>
      <c r="I93" s="394"/>
      <c r="J93" s="395"/>
      <c r="K93" s="395"/>
      <c r="L93" s="396"/>
      <c r="U93" s="75">
        <f>SUM(U80:U92)</f>
        <v>0</v>
      </c>
      <c r="V93" s="75">
        <f>SUM(V80:V92)</f>
        <v>0</v>
      </c>
    </row>
    <row r="94" spans="3:38">
      <c r="C94" s="109"/>
      <c r="D94" s="109"/>
      <c r="E94" s="109"/>
      <c r="F94" s="109"/>
      <c r="G94" s="109"/>
      <c r="H94" s="109"/>
      <c r="I94" s="109"/>
      <c r="J94" s="109"/>
      <c r="K94" s="109"/>
      <c r="L94" s="109"/>
    </row>
    <row r="95" spans="3:38">
      <c r="C95" s="109"/>
      <c r="D95" s="109"/>
      <c r="E95" s="109"/>
      <c r="F95" s="109"/>
      <c r="G95" s="109"/>
      <c r="H95" s="109"/>
      <c r="I95" s="109"/>
      <c r="J95" s="109"/>
      <c r="K95" s="109"/>
      <c r="L95" s="109"/>
    </row>
    <row r="96" spans="3:38">
      <c r="C96" s="391" t="s">
        <v>357</v>
      </c>
      <c r="D96" s="363" t="str">
        <f>D78</f>
        <v>Tonn CO2 ekv, GWP. Klimagassutslippene er oppgit uten hensyn til binding av biogent karbon.</v>
      </c>
      <c r="E96" s="364"/>
      <c r="F96" s="364"/>
      <c r="G96" s="364"/>
      <c r="H96" s="393"/>
      <c r="I96" s="142" t="s">
        <v>90</v>
      </c>
      <c r="J96" s="158"/>
      <c r="K96" s="143"/>
      <c r="L96" s="144"/>
    </row>
    <row r="97" spans="3:24" ht="30" customHeight="1">
      <c r="C97" s="392"/>
      <c r="D97" s="145" t="s">
        <v>332</v>
      </c>
      <c r="E97" s="146" t="s">
        <v>156</v>
      </c>
      <c r="F97" s="146" t="s">
        <v>157</v>
      </c>
      <c r="G97" s="312" t="s">
        <v>183</v>
      </c>
      <c r="H97" s="313"/>
      <c r="I97" s="148"/>
      <c r="J97" s="159"/>
      <c r="K97" s="149"/>
      <c r="L97" s="150"/>
    </row>
    <row r="98" spans="3:24">
      <c r="C98" s="154" t="s">
        <v>358</v>
      </c>
      <c r="D98" s="322"/>
      <c r="E98" s="323"/>
      <c r="F98" s="152"/>
      <c r="G98" s="314">
        <f>D98</f>
        <v>0</v>
      </c>
      <c r="H98" s="315"/>
      <c r="I98" s="322"/>
      <c r="J98" s="379"/>
      <c r="K98" s="379"/>
      <c r="L98" s="323"/>
    </row>
    <row r="99" spans="3:24" ht="30" customHeight="1">
      <c r="C99" s="107" t="s">
        <v>46</v>
      </c>
      <c r="D99" s="310" t="str">
        <f ca="1">IF(AX32&gt;0,"Beregnet med "&amp;AX32&amp;" års 'restlevetid' til beregningsperioden på "&amp;'Generelt om prosjektet'!C24&amp;" år","")</f>
        <v/>
      </c>
      <c r="E99" s="311"/>
      <c r="F99" s="160">
        <f ca="1">SUM(AX33:BA33)/1000</f>
        <v>0</v>
      </c>
      <c r="G99" s="314">
        <f ca="1">F99</f>
        <v>0</v>
      </c>
      <c r="H99" s="315"/>
      <c r="I99" s="322"/>
      <c r="J99" s="379"/>
      <c r="K99" s="379"/>
      <c r="L99" s="323"/>
      <c r="V99" s="2"/>
    </row>
    <row r="100" spans="3:24">
      <c r="C100" s="420" t="s">
        <v>582</v>
      </c>
      <c r="D100" s="381"/>
      <c r="E100" s="381"/>
      <c r="F100" s="381"/>
      <c r="G100" s="381"/>
      <c r="H100" s="381"/>
      <c r="I100" s="381"/>
      <c r="J100" s="381"/>
      <c r="K100" s="381"/>
      <c r="L100" s="382"/>
    </row>
    <row r="101" spans="3:24">
      <c r="C101" s="383"/>
      <c r="D101" s="384"/>
      <c r="E101" s="384"/>
      <c r="F101" s="384"/>
      <c r="G101" s="384"/>
      <c r="H101" s="384"/>
      <c r="I101" s="384"/>
      <c r="J101" s="384"/>
      <c r="K101" s="384"/>
      <c r="L101" s="385"/>
    </row>
    <row r="102" spans="3:24">
      <c r="C102" s="383"/>
      <c r="D102" s="384"/>
      <c r="E102" s="384"/>
      <c r="F102" s="384"/>
      <c r="G102" s="384"/>
      <c r="H102" s="384"/>
      <c r="I102" s="384"/>
      <c r="J102" s="384"/>
      <c r="K102" s="384"/>
      <c r="L102" s="385"/>
    </row>
    <row r="103" spans="3:24">
      <c r="C103" s="386"/>
      <c r="D103" s="387"/>
      <c r="E103" s="387"/>
      <c r="F103" s="387"/>
      <c r="G103" s="387"/>
      <c r="H103" s="387"/>
      <c r="I103" s="387"/>
      <c r="J103" s="387"/>
      <c r="K103" s="387"/>
      <c r="L103" s="388"/>
    </row>
    <row r="107" spans="3:24" ht="24.9">
      <c r="C107" s="23" t="str">
        <f>"Alternativ 5: Resultat. B6: Energi i drift, "&amp;'Generelt om prosjektet'!C24&amp;" år, ulike utslippsfaktorer for energi"</f>
        <v>Alternativ 5: Resultat. B6: Energi i drift, 50 år, ulike utslippsfaktorer for energi</v>
      </c>
    </row>
    <row r="108" spans="3:24">
      <c r="C108" s="109"/>
      <c r="D108" s="109"/>
      <c r="E108" s="109"/>
      <c r="F108" s="109"/>
      <c r="G108" s="109"/>
      <c r="H108" s="109"/>
      <c r="I108" s="109"/>
    </row>
    <row r="109" spans="3:24">
      <c r="C109" s="109"/>
      <c r="D109" s="287" t="s">
        <v>359</v>
      </c>
      <c r="E109" s="287"/>
      <c r="F109" s="287"/>
      <c r="G109" s="109"/>
      <c r="H109" s="109"/>
      <c r="I109" s="109"/>
    </row>
    <row r="110" spans="3:24" ht="24.9">
      <c r="C110" s="118" t="s">
        <v>360</v>
      </c>
      <c r="D110" s="118" t="s">
        <v>361</v>
      </c>
      <c r="E110" s="118" t="s">
        <v>362</v>
      </c>
      <c r="F110" s="118" t="s">
        <v>363</v>
      </c>
      <c r="G110" s="161" t="str">
        <f>"Beregnet utslipp over "&amp;'Generelt om prosjektet'!C24&amp;" år"</f>
        <v>Beregnet utslipp over 50 år</v>
      </c>
      <c r="H110" s="145" t="s">
        <v>164</v>
      </c>
      <c r="I110" s="109"/>
    </row>
    <row r="111" spans="3:24">
      <c r="C111" s="107" t="s">
        <v>364</v>
      </c>
      <c r="D111" s="162">
        <f>Utslippsdata!C77</f>
        <v>1.7747665114285747E-2</v>
      </c>
      <c r="E111" s="162">
        <f>Utslippsdata!C83</f>
        <v>1.4693376033679371E-2</v>
      </c>
      <c r="F111" s="107">
        <f>E37</f>
        <v>0</v>
      </c>
      <c r="G111" s="153">
        <f>(($W$111+$W$114)*D111+$W$112*E111+$W$113*F111)*$W$115/1000</f>
        <v>0</v>
      </c>
      <c r="H111" s="107" t="s">
        <v>365</v>
      </c>
      <c r="I111" s="109"/>
      <c r="V111" s="26" t="s">
        <v>361</v>
      </c>
      <c r="W111" s="70">
        <f>E34</f>
        <v>0</v>
      </c>
      <c r="X111" s="26" t="s">
        <v>366</v>
      </c>
    </row>
    <row r="112" spans="3:24">
      <c r="C112" s="107" t="s">
        <v>367</v>
      </c>
      <c r="D112" s="162">
        <f>Utslippsdata!C76</f>
        <v>0.10462896495714274</v>
      </c>
      <c r="E112" s="162">
        <f>Utslippsdata!C80</f>
        <v>3.8751119274583641E-2</v>
      </c>
      <c r="F112" s="107">
        <f>E37</f>
        <v>0</v>
      </c>
      <c r="G112" s="153">
        <f>(($W$111+$W$114)*D112+$W$112*E112+$W$113*F112)*$W$115/1000</f>
        <v>0</v>
      </c>
      <c r="H112" s="107" t="s">
        <v>365</v>
      </c>
      <c r="I112" s="109"/>
      <c r="V112" s="26" t="s">
        <v>368</v>
      </c>
      <c r="W112" s="70">
        <f>E35</f>
        <v>0</v>
      </c>
      <c r="X112" s="26" t="s">
        <v>366</v>
      </c>
    </row>
    <row r="113" spans="3:27">
      <c r="C113" s="109"/>
      <c r="D113" s="109"/>
      <c r="E113" s="109"/>
      <c r="F113" s="109"/>
      <c r="G113" s="109"/>
      <c r="H113" s="109"/>
      <c r="I113" s="109"/>
      <c r="V113" s="26" t="s">
        <v>369</v>
      </c>
      <c r="W113" s="70">
        <f>E36</f>
        <v>0</v>
      </c>
      <c r="X113" s="26" t="s">
        <v>366</v>
      </c>
    </row>
    <row r="114" spans="3:27">
      <c r="C114" s="109"/>
      <c r="D114" s="287" t="s">
        <v>359</v>
      </c>
      <c r="E114" s="287"/>
      <c r="F114" s="287"/>
      <c r="G114" s="109"/>
      <c r="H114" s="109"/>
      <c r="I114" s="109"/>
      <c r="V114" s="26" t="s">
        <v>370</v>
      </c>
      <c r="W114" s="70">
        <f>E39</f>
        <v>0</v>
      </c>
      <c r="X114" s="26" t="s">
        <v>366</v>
      </c>
    </row>
    <row r="115" spans="3:27" ht="36.9">
      <c r="C115" s="146" t="s">
        <v>371</v>
      </c>
      <c r="D115" s="118" t="s">
        <v>361</v>
      </c>
      <c r="E115" s="118" t="s">
        <v>362</v>
      </c>
      <c r="F115" s="118" t="s">
        <v>363</v>
      </c>
      <c r="G115" s="161" t="str">
        <f>"Beregnet utslipp over "&amp;'Generelt om prosjektet'!C29&amp;" år"</f>
        <v>Beregnet utslipp over  år</v>
      </c>
      <c r="H115" s="145" t="s">
        <v>164</v>
      </c>
      <c r="I115" s="109"/>
      <c r="V115" s="26" t="s">
        <v>372</v>
      </c>
      <c r="W115" s="26">
        <f>'Generelt om prosjektet'!C24</f>
        <v>50</v>
      </c>
      <c r="X115" s="26"/>
    </row>
    <row r="116" spans="3:27">
      <c r="C116" s="107" t="s">
        <v>364</v>
      </c>
      <c r="D116" s="162">
        <f>D111</f>
        <v>1.7747665114285747E-2</v>
      </c>
      <c r="E116" s="162">
        <f>Utslippsdata!C84</f>
        <v>6.5088487419817986E-2</v>
      </c>
      <c r="F116" s="107">
        <f>E37</f>
        <v>0</v>
      </c>
      <c r="G116" s="153">
        <f>(($W$111+$W$114)*D116+$W$112*E116+$W$113*F116)*$W$115/1000</f>
        <v>0</v>
      </c>
      <c r="H116" s="107" t="s">
        <v>365</v>
      </c>
      <c r="I116" s="109"/>
    </row>
    <row r="117" spans="3:27">
      <c r="C117" s="163" t="s">
        <v>373</v>
      </c>
      <c r="D117" s="164">
        <f>D112</f>
        <v>0.10462896495714274</v>
      </c>
      <c r="E117" s="164">
        <f>Utslippsdata!C81</f>
        <v>8.9146230660722248E-2</v>
      </c>
      <c r="F117" s="163">
        <f>E37</f>
        <v>0</v>
      </c>
      <c r="G117" s="165">
        <f>(($W$111+$W$114)*D117+$W$112*E117+$W$113*F117)*$W$115/1000</f>
        <v>0</v>
      </c>
      <c r="H117" s="163" t="s">
        <v>365</v>
      </c>
      <c r="I117" s="109"/>
    </row>
    <row r="118" spans="3:27">
      <c r="C118" s="109"/>
      <c r="D118" s="109"/>
      <c r="E118" s="109"/>
      <c r="F118" s="109"/>
      <c r="G118" s="109"/>
      <c r="H118" s="109"/>
      <c r="I118" s="109"/>
    </row>
    <row r="119" spans="3:27">
      <c r="C119" s="109"/>
      <c r="D119" s="109"/>
      <c r="E119" s="109"/>
      <c r="F119" s="109"/>
      <c r="G119" s="109"/>
      <c r="H119" s="109"/>
      <c r="I119" s="109"/>
    </row>
    <row r="122" spans="3:27" ht="15" customHeight="1"/>
    <row r="123" spans="3:27" ht="15" customHeight="1"/>
    <row r="124" spans="3:27" ht="15" customHeight="1"/>
    <row r="125" spans="3:27">
      <c r="AA125" s="26" t="s">
        <v>268</v>
      </c>
    </row>
    <row r="126" spans="3:27">
      <c r="AA126" s="26" t="s">
        <v>260</v>
      </c>
    </row>
    <row r="127" spans="3:27" ht="27">
      <c r="C127" s="24" t="s">
        <v>429</v>
      </c>
      <c r="D127" s="68"/>
    </row>
    <row r="128" spans="3:27" ht="15" customHeight="1">
      <c r="C128" s="273" t="s">
        <v>375</v>
      </c>
      <c r="D128" s="274" t="s">
        <v>260</v>
      </c>
    </row>
    <row r="130" spans="3:50" ht="14.4" thickBot="1">
      <c r="C130" s="95" t="s">
        <v>376</v>
      </c>
    </row>
    <row r="131" spans="3:50" ht="110.4">
      <c r="C131" s="82" t="s">
        <v>377</v>
      </c>
      <c r="D131" s="83" t="s">
        <v>339</v>
      </c>
      <c r="E131" s="83" t="s">
        <v>378</v>
      </c>
      <c r="F131" s="83" t="s">
        <v>379</v>
      </c>
      <c r="G131" s="83" t="s">
        <v>168</v>
      </c>
      <c r="H131" s="83" t="s">
        <v>346</v>
      </c>
      <c r="I131" s="83" t="s">
        <v>347</v>
      </c>
      <c r="J131" s="83" t="s">
        <v>348</v>
      </c>
      <c r="K131" s="83" t="s">
        <v>349</v>
      </c>
      <c r="L131" s="83" t="s">
        <v>353</v>
      </c>
      <c r="M131" s="83" t="s">
        <v>380</v>
      </c>
      <c r="N131" s="83" t="s">
        <v>381</v>
      </c>
      <c r="O131" s="83" t="s">
        <v>358</v>
      </c>
      <c r="P131" s="83" t="s">
        <v>171</v>
      </c>
      <c r="Q131" s="83" t="s">
        <v>382</v>
      </c>
      <c r="R131" s="168" t="s">
        <v>383</v>
      </c>
      <c r="S131" s="168" t="s">
        <v>383</v>
      </c>
      <c r="T131" s="168" t="s">
        <v>383</v>
      </c>
      <c r="U131" s="166"/>
      <c r="AK131" s="96">
        <v>1</v>
      </c>
      <c r="AL131" s="97">
        <v>2</v>
      </c>
      <c r="AM131" s="97">
        <v>3</v>
      </c>
      <c r="AN131" s="97">
        <v>4</v>
      </c>
      <c r="AO131" s="97">
        <v>5</v>
      </c>
      <c r="AP131" s="97">
        <v>6</v>
      </c>
      <c r="AQ131" s="97">
        <v>7</v>
      </c>
      <c r="AR131" s="97">
        <v>8</v>
      </c>
      <c r="AS131" s="97">
        <v>9</v>
      </c>
      <c r="AT131" s="97">
        <v>10</v>
      </c>
      <c r="AU131" s="97">
        <v>11</v>
      </c>
      <c r="AV131" s="97">
        <v>12</v>
      </c>
      <c r="AW131" s="97">
        <v>13</v>
      </c>
      <c r="AX131" s="98"/>
    </row>
    <row r="132" spans="3:50">
      <c r="C132" s="26" t="s">
        <v>384</v>
      </c>
      <c r="D132" s="169"/>
      <c r="E132" s="169"/>
      <c r="F132" s="169"/>
      <c r="G132" s="169"/>
      <c r="H132" s="169"/>
      <c r="I132" s="169"/>
      <c r="J132" s="169"/>
      <c r="K132" s="169"/>
      <c r="L132" s="169"/>
      <c r="M132" s="169"/>
      <c r="N132" s="169"/>
      <c r="O132" s="169"/>
      <c r="P132" s="169"/>
      <c r="Q132" s="169"/>
      <c r="R132" s="169"/>
      <c r="S132" s="169"/>
      <c r="T132" s="169"/>
      <c r="U132" s="166"/>
      <c r="AK132" s="99" t="s">
        <v>385</v>
      </c>
      <c r="AL132" s="25" t="s">
        <v>386</v>
      </c>
      <c r="AM132" s="25" t="s">
        <v>159</v>
      </c>
      <c r="AN132" s="25" t="s">
        <v>4</v>
      </c>
      <c r="AO132" s="25" t="s">
        <v>164</v>
      </c>
      <c r="AW132" s="25" t="s">
        <v>387</v>
      </c>
      <c r="AX132" s="100"/>
    </row>
    <row r="133" spans="3:50" ht="14.1">
      <c r="C133" s="26" t="s">
        <v>388</v>
      </c>
      <c r="D133" s="169"/>
      <c r="E133" s="169"/>
      <c r="F133" s="169"/>
      <c r="G133" s="169"/>
      <c r="H133" s="169"/>
      <c r="I133" s="169"/>
      <c r="J133" s="169"/>
      <c r="K133" s="169"/>
      <c r="L133" s="169"/>
      <c r="M133" s="169"/>
      <c r="N133" s="169"/>
      <c r="O133" s="169"/>
      <c r="P133" s="169"/>
      <c r="Q133" s="169"/>
      <c r="R133" s="169"/>
      <c r="S133" s="169"/>
      <c r="T133" s="169"/>
      <c r="U133" s="166"/>
      <c r="AK133" s="101" t="s">
        <v>173</v>
      </c>
      <c r="AL133" s="26"/>
      <c r="AM133" s="26"/>
      <c r="AN133" s="26"/>
      <c r="AW133" s="95" t="s">
        <v>389</v>
      </c>
      <c r="AX133" s="100"/>
    </row>
    <row r="134" spans="3:50">
      <c r="C134" s="26" t="s">
        <v>390</v>
      </c>
      <c r="D134" s="37"/>
      <c r="E134" s="37"/>
      <c r="F134" s="37"/>
      <c r="G134" s="37"/>
      <c r="H134" s="37"/>
      <c r="I134" s="37"/>
      <c r="J134" s="37"/>
      <c r="K134" s="37"/>
      <c r="L134" s="37"/>
      <c r="M134" s="37"/>
      <c r="N134" s="37"/>
      <c r="O134" s="37"/>
      <c r="P134" s="37"/>
      <c r="Q134" s="37"/>
      <c r="R134" s="37"/>
      <c r="S134" s="37"/>
      <c r="T134" s="37"/>
      <c r="AK134" s="101" t="s">
        <v>249</v>
      </c>
      <c r="AL134" s="26" t="s">
        <v>249</v>
      </c>
      <c r="AM134" s="26" t="s">
        <v>391</v>
      </c>
      <c r="AN134" s="26" t="s">
        <v>205</v>
      </c>
      <c r="AO134" s="58" t="s">
        <v>301</v>
      </c>
      <c r="AW134" s="26" t="s">
        <v>249</v>
      </c>
      <c r="AX134" s="100"/>
    </row>
    <row r="135" spans="3:50">
      <c r="C135" s="26" t="s">
        <v>392</v>
      </c>
      <c r="D135" s="37"/>
      <c r="E135" s="37"/>
      <c r="F135" s="37"/>
      <c r="G135" s="37"/>
      <c r="H135" s="37"/>
      <c r="I135" s="37"/>
      <c r="J135" s="37"/>
      <c r="K135" s="37"/>
      <c r="L135" s="37"/>
      <c r="M135" s="37"/>
      <c r="N135" s="37"/>
      <c r="O135" s="37"/>
      <c r="P135" s="37"/>
      <c r="Q135" s="37"/>
      <c r="R135" s="37"/>
      <c r="S135" s="37"/>
      <c r="T135" s="37"/>
      <c r="AK135" s="101" t="s">
        <v>239</v>
      </c>
      <c r="AL135" s="26" t="s">
        <v>239</v>
      </c>
      <c r="AM135" s="26" t="s">
        <v>393</v>
      </c>
      <c r="AN135" s="26" t="s">
        <v>209</v>
      </c>
      <c r="AO135" s="58" t="s">
        <v>301</v>
      </c>
      <c r="AR135" s="48" t="s">
        <v>394</v>
      </c>
      <c r="AW135" s="26" t="s">
        <v>239</v>
      </c>
      <c r="AX135" s="100"/>
    </row>
    <row r="136" spans="3:50">
      <c r="C136" s="26" t="s">
        <v>395</v>
      </c>
      <c r="D136" s="37"/>
      <c r="E136" s="37"/>
      <c r="F136" s="37"/>
      <c r="G136" s="37"/>
      <c r="H136" s="37"/>
      <c r="I136" s="37"/>
      <c r="J136" s="37"/>
      <c r="K136" s="37"/>
      <c r="L136" s="37"/>
      <c r="M136" s="37"/>
      <c r="N136" s="37"/>
      <c r="O136" s="37"/>
      <c r="P136" s="37"/>
      <c r="Q136" s="37"/>
      <c r="R136" s="37"/>
      <c r="S136" s="37"/>
      <c r="T136" s="37"/>
      <c r="AK136" s="101" t="s">
        <v>253</v>
      </c>
      <c r="AL136" s="26" t="s">
        <v>253</v>
      </c>
      <c r="AM136" s="26" t="s">
        <v>396</v>
      </c>
      <c r="AN136" s="26" t="s">
        <v>213</v>
      </c>
      <c r="AO136" s="58" t="s">
        <v>301</v>
      </c>
      <c r="AW136" s="26" t="s">
        <v>253</v>
      </c>
      <c r="AX136" s="100"/>
    </row>
    <row r="137" spans="3:50">
      <c r="C137" s="26" t="s">
        <v>397</v>
      </c>
      <c r="D137" s="37"/>
      <c r="E137" s="37"/>
      <c r="F137" s="37"/>
      <c r="G137" s="37"/>
      <c r="H137" s="37"/>
      <c r="I137" s="37"/>
      <c r="J137" s="37"/>
      <c r="K137" s="37"/>
      <c r="L137" s="37"/>
      <c r="M137" s="37"/>
      <c r="N137" s="37"/>
      <c r="O137" s="37"/>
      <c r="P137" s="37"/>
      <c r="Q137" s="37"/>
      <c r="R137" s="37"/>
      <c r="S137" s="37"/>
      <c r="T137" s="37"/>
      <c r="AK137" s="101" t="s">
        <v>270</v>
      </c>
      <c r="AL137" s="26" t="s">
        <v>270</v>
      </c>
      <c r="AM137" s="26" t="s">
        <v>398</v>
      </c>
      <c r="AN137" s="26" t="s">
        <v>219</v>
      </c>
      <c r="AO137" s="58"/>
      <c r="AQ137" s="25" t="s">
        <v>399</v>
      </c>
      <c r="AR137" s="25" t="s">
        <v>400</v>
      </c>
      <c r="AS137" s="25" t="s">
        <v>400</v>
      </c>
      <c r="AW137" s="26" t="s">
        <v>270</v>
      </c>
      <c r="AX137" s="100"/>
    </row>
    <row r="138" spans="3:50">
      <c r="C138" s="26" t="s">
        <v>401</v>
      </c>
      <c r="D138" s="37"/>
      <c r="E138" s="37"/>
      <c r="F138" s="37"/>
      <c r="G138" s="37"/>
      <c r="H138" s="37"/>
      <c r="I138" s="37"/>
      <c r="J138" s="37"/>
      <c r="K138" s="37"/>
      <c r="L138" s="37"/>
      <c r="M138" s="37"/>
      <c r="N138" s="37"/>
      <c r="O138" s="37"/>
      <c r="P138" s="37"/>
      <c r="Q138" s="37"/>
      <c r="R138" s="37"/>
      <c r="S138" s="37"/>
      <c r="T138" s="37"/>
      <c r="AK138" s="101" t="s">
        <v>258</v>
      </c>
      <c r="AL138" s="26" t="s">
        <v>258</v>
      </c>
      <c r="AM138" s="26" t="s">
        <v>402</v>
      </c>
      <c r="AN138" s="26" t="s">
        <v>230</v>
      </c>
      <c r="AO138" s="58" t="s">
        <v>301</v>
      </c>
      <c r="AW138" s="26" t="s">
        <v>258</v>
      </c>
      <c r="AX138" s="100"/>
    </row>
    <row r="139" spans="3:50">
      <c r="C139" s="26" t="s">
        <v>403</v>
      </c>
      <c r="D139" s="37"/>
      <c r="E139" s="37"/>
      <c r="F139" s="37"/>
      <c r="G139" s="37"/>
      <c r="H139" s="37"/>
      <c r="I139" s="37"/>
      <c r="J139" s="37"/>
      <c r="K139" s="37"/>
      <c r="L139" s="37"/>
      <c r="M139" s="37"/>
      <c r="N139" s="37"/>
      <c r="O139" s="37"/>
      <c r="P139" s="37"/>
      <c r="Q139" s="37"/>
      <c r="R139" s="37"/>
      <c r="S139" s="37"/>
      <c r="T139" s="37"/>
      <c r="AK139" s="101" t="s">
        <v>232</v>
      </c>
      <c r="AL139" s="26" t="s">
        <v>404</v>
      </c>
      <c r="AM139" s="26" t="s">
        <v>405</v>
      </c>
      <c r="AN139" s="26" t="s">
        <v>237</v>
      </c>
      <c r="AO139" s="58" t="s">
        <v>301</v>
      </c>
      <c r="AW139" s="26" t="s">
        <v>404</v>
      </c>
      <c r="AX139" s="100"/>
    </row>
    <row r="140" spans="3:50">
      <c r="C140" s="167" t="s">
        <v>383</v>
      </c>
      <c r="D140" s="37"/>
      <c r="E140" s="37"/>
      <c r="F140" s="37"/>
      <c r="G140" s="37"/>
      <c r="H140" s="37"/>
      <c r="I140" s="37"/>
      <c r="J140" s="37"/>
      <c r="K140" s="37"/>
      <c r="L140" s="37"/>
      <c r="M140" s="37"/>
      <c r="N140" s="37"/>
      <c r="O140" s="37"/>
      <c r="P140" s="37"/>
      <c r="Q140" s="37"/>
      <c r="R140" s="37"/>
      <c r="S140" s="37"/>
      <c r="T140" s="37"/>
      <c r="AK140" s="101" t="s">
        <v>244</v>
      </c>
      <c r="AL140" s="26"/>
      <c r="AM140" s="26" t="s">
        <v>406</v>
      </c>
      <c r="AN140" s="26" t="s">
        <v>242</v>
      </c>
      <c r="AO140" s="58" t="s">
        <v>301</v>
      </c>
      <c r="AW140" s="102" t="s">
        <v>239</v>
      </c>
      <c r="AX140" s="100"/>
    </row>
    <row r="141" spans="3:50">
      <c r="C141" s="167" t="s">
        <v>383</v>
      </c>
      <c r="D141" s="37"/>
      <c r="E141" s="37"/>
      <c r="F141" s="37"/>
      <c r="G141" s="37"/>
      <c r="H141" s="37"/>
      <c r="I141" s="37"/>
      <c r="J141" s="37"/>
      <c r="K141" s="37"/>
      <c r="L141" s="37"/>
      <c r="M141" s="37"/>
      <c r="N141" s="37"/>
      <c r="O141" s="37"/>
      <c r="P141" s="37"/>
      <c r="Q141" s="37"/>
      <c r="R141" s="37"/>
      <c r="S141" s="37"/>
      <c r="T141" s="37"/>
      <c r="AK141" s="101" t="s">
        <v>271</v>
      </c>
      <c r="AL141" s="26"/>
      <c r="AM141" s="26" t="s">
        <v>407</v>
      </c>
      <c r="AN141" s="26" t="s">
        <v>247</v>
      </c>
      <c r="AO141" s="58" t="s">
        <v>301</v>
      </c>
      <c r="AX141" s="100"/>
    </row>
    <row r="142" spans="3:50">
      <c r="C142" s="167" t="s">
        <v>383</v>
      </c>
      <c r="D142" s="37"/>
      <c r="E142" s="37"/>
      <c r="F142" s="37"/>
      <c r="G142" s="37"/>
      <c r="H142" s="37"/>
      <c r="I142" s="37"/>
      <c r="J142" s="37"/>
      <c r="K142" s="37"/>
      <c r="L142" s="37"/>
      <c r="M142" s="37"/>
      <c r="N142" s="37"/>
      <c r="O142" s="37"/>
      <c r="P142" s="37"/>
      <c r="Q142" s="37"/>
      <c r="R142" s="37"/>
      <c r="S142" s="37"/>
      <c r="T142" s="37"/>
      <c r="AK142" s="101" t="s">
        <v>263</v>
      </c>
      <c r="AL142" s="26"/>
      <c r="AM142" s="26" t="s">
        <v>408</v>
      </c>
      <c r="AN142" s="26" t="s">
        <v>251</v>
      </c>
      <c r="AO142" s="58" t="s">
        <v>301</v>
      </c>
      <c r="AW142" s="26" t="s">
        <v>239</v>
      </c>
      <c r="AX142" s="100"/>
    </row>
    <row r="143" spans="3:50" ht="14.1">
      <c r="C143" s="197" t="s">
        <v>409</v>
      </c>
      <c r="D143" s="197">
        <f t="shared" ref="D143:T143" si="16">SUM(D132:D142)</f>
        <v>0</v>
      </c>
      <c r="E143" s="197">
        <f t="shared" si="16"/>
        <v>0</v>
      </c>
      <c r="F143" s="197">
        <f t="shared" si="16"/>
        <v>0</v>
      </c>
      <c r="G143" s="197">
        <f t="shared" si="16"/>
        <v>0</v>
      </c>
      <c r="H143" s="197">
        <f t="shared" si="16"/>
        <v>0</v>
      </c>
      <c r="I143" s="197">
        <f t="shared" si="16"/>
        <v>0</v>
      </c>
      <c r="J143" s="197">
        <f t="shared" si="16"/>
        <v>0</v>
      </c>
      <c r="K143" s="197">
        <f t="shared" si="16"/>
        <v>0</v>
      </c>
      <c r="L143" s="197">
        <f t="shared" si="16"/>
        <v>0</v>
      </c>
      <c r="M143" s="197">
        <f t="shared" si="16"/>
        <v>0</v>
      </c>
      <c r="N143" s="197">
        <f t="shared" si="16"/>
        <v>0</v>
      </c>
      <c r="O143" s="197">
        <f t="shared" si="16"/>
        <v>0</v>
      </c>
      <c r="P143" s="197">
        <f t="shared" si="16"/>
        <v>0</v>
      </c>
      <c r="Q143" s="197">
        <f t="shared" si="16"/>
        <v>0</v>
      </c>
      <c r="R143" s="197">
        <f t="shared" si="16"/>
        <v>0</v>
      </c>
      <c r="S143" s="197">
        <f t="shared" si="16"/>
        <v>0</v>
      </c>
      <c r="T143" s="197">
        <f t="shared" si="16"/>
        <v>0</v>
      </c>
      <c r="AK143" s="101" t="s">
        <v>267</v>
      </c>
      <c r="AL143" s="26" t="s">
        <v>410</v>
      </c>
      <c r="AM143" s="26" t="s">
        <v>411</v>
      </c>
      <c r="AN143" s="26" t="s">
        <v>219</v>
      </c>
      <c r="AO143" s="58"/>
      <c r="AQ143" s="25" t="s">
        <v>399</v>
      </c>
      <c r="AR143" s="25" t="s">
        <v>400</v>
      </c>
      <c r="AW143" s="26" t="s">
        <v>410</v>
      </c>
      <c r="AX143" s="100"/>
    </row>
    <row r="144" spans="3:50">
      <c r="I144" s="48"/>
      <c r="AK144" s="101" t="s">
        <v>277</v>
      </c>
      <c r="AL144" s="26" t="s">
        <v>410</v>
      </c>
      <c r="AM144" s="26" t="s">
        <v>412</v>
      </c>
      <c r="AN144" s="26" t="s">
        <v>219</v>
      </c>
      <c r="AO144" s="58"/>
      <c r="AQ144" s="25" t="s">
        <v>399</v>
      </c>
      <c r="AR144" s="25" t="s">
        <v>400</v>
      </c>
      <c r="AW144" s="26" t="s">
        <v>410</v>
      </c>
      <c r="AX144" s="100"/>
    </row>
    <row r="145" spans="3:50">
      <c r="AK145" s="101" t="s">
        <v>413</v>
      </c>
      <c r="AL145" s="26"/>
      <c r="AM145" s="26" t="s">
        <v>414</v>
      </c>
      <c r="AN145" s="26" t="s">
        <v>219</v>
      </c>
      <c r="AO145" s="58"/>
      <c r="AQ145" s="25" t="s">
        <v>399</v>
      </c>
      <c r="AR145" s="25" t="s">
        <v>400</v>
      </c>
      <c r="AW145" s="25" t="s">
        <v>415</v>
      </c>
      <c r="AX145" s="100"/>
    </row>
    <row r="146" spans="3:50" ht="14.1">
      <c r="C146" s="95" t="s">
        <v>416</v>
      </c>
      <c r="AK146" s="99"/>
      <c r="AX146" s="100"/>
    </row>
    <row r="147" spans="3:50" ht="110.4">
      <c r="C147" s="30" t="s">
        <v>377</v>
      </c>
      <c r="D147" s="83" t="s">
        <v>339</v>
      </c>
      <c r="E147" s="83" t="s">
        <v>378</v>
      </c>
      <c r="F147" s="83" t="s">
        <v>379</v>
      </c>
      <c r="G147" s="83" t="s">
        <v>168</v>
      </c>
      <c r="H147" s="83" t="s">
        <v>346</v>
      </c>
      <c r="I147" s="83" t="s">
        <v>347</v>
      </c>
      <c r="J147" s="83" t="s">
        <v>348</v>
      </c>
      <c r="K147" s="83" t="s">
        <v>349</v>
      </c>
      <c r="L147" s="83" t="s">
        <v>353</v>
      </c>
      <c r="M147" s="83" t="s">
        <v>380</v>
      </c>
      <c r="N147" s="83" t="s">
        <v>381</v>
      </c>
      <c r="O147" s="83" t="s">
        <v>358</v>
      </c>
      <c r="P147" s="83" t="s">
        <v>171</v>
      </c>
      <c r="Q147" s="83" t="s">
        <v>382</v>
      </c>
      <c r="R147" s="168" t="s">
        <v>383</v>
      </c>
      <c r="S147" s="168" t="s">
        <v>383</v>
      </c>
      <c r="T147" s="168" t="s">
        <v>383</v>
      </c>
      <c r="AK147" s="99" t="str">
        <f>AK133</f>
        <v>Velg arealtype</v>
      </c>
      <c r="AX147" s="100"/>
    </row>
    <row r="148" spans="3:50">
      <c r="C148" s="26" t="s">
        <v>384</v>
      </c>
      <c r="D148" s="169"/>
      <c r="E148" s="169"/>
      <c r="F148" s="169"/>
      <c r="G148" s="169"/>
      <c r="H148" s="169"/>
      <c r="I148" s="169"/>
      <c r="J148" s="169"/>
      <c r="K148" s="169"/>
      <c r="L148" s="169"/>
      <c r="M148" s="169"/>
      <c r="N148" s="169"/>
      <c r="O148" s="169"/>
      <c r="P148" s="169"/>
      <c r="Q148" s="169"/>
      <c r="R148" s="169"/>
      <c r="S148" s="169"/>
      <c r="T148" s="169"/>
      <c r="AK148" s="101" t="s">
        <v>146</v>
      </c>
      <c r="AL148" s="26" t="s">
        <v>417</v>
      </c>
      <c r="AM148" s="26" t="s">
        <v>418</v>
      </c>
      <c r="AN148" s="26" t="s">
        <v>219</v>
      </c>
      <c r="AO148" s="58"/>
      <c r="AQ148" s="25" t="s">
        <v>399</v>
      </c>
      <c r="AR148" s="25" t="s">
        <v>400</v>
      </c>
      <c r="AW148" s="26" t="s">
        <v>417</v>
      </c>
      <c r="AX148" s="100"/>
    </row>
    <row r="149" spans="3:50">
      <c r="C149" s="26" t="s">
        <v>388</v>
      </c>
      <c r="D149" s="169"/>
      <c r="E149" s="169"/>
      <c r="F149" s="169"/>
      <c r="G149" s="169"/>
      <c r="H149" s="169"/>
      <c r="I149" s="169"/>
      <c r="J149" s="169"/>
      <c r="K149" s="169"/>
      <c r="L149" s="169"/>
      <c r="M149" s="169"/>
      <c r="N149" s="169"/>
      <c r="O149" s="169"/>
      <c r="P149" s="169"/>
      <c r="Q149" s="169"/>
      <c r="R149" s="169"/>
      <c r="S149" s="169"/>
      <c r="T149" s="169"/>
      <c r="AK149" s="101" t="s">
        <v>144</v>
      </c>
      <c r="AL149" s="26" t="s">
        <v>419</v>
      </c>
      <c r="AM149" s="26" t="s">
        <v>420</v>
      </c>
      <c r="AN149" s="26" t="s">
        <v>257</v>
      </c>
      <c r="AO149" s="58" t="s">
        <v>301</v>
      </c>
      <c r="AW149" s="26" t="s">
        <v>419</v>
      </c>
      <c r="AX149" s="100"/>
    </row>
    <row r="150" spans="3:50">
      <c r="C150" s="26" t="s">
        <v>390</v>
      </c>
      <c r="D150" s="37"/>
      <c r="E150" s="37"/>
      <c r="F150" s="37"/>
      <c r="G150" s="37"/>
      <c r="H150" s="37"/>
      <c r="I150" s="37"/>
      <c r="J150" s="37"/>
      <c r="K150" s="37"/>
      <c r="L150" s="37"/>
      <c r="M150" s="37"/>
      <c r="N150" s="37"/>
      <c r="O150" s="37"/>
      <c r="P150" s="37"/>
      <c r="Q150" s="37"/>
      <c r="R150" s="37"/>
      <c r="S150" s="37"/>
      <c r="T150" s="37"/>
      <c r="AK150" s="101"/>
      <c r="AL150" s="26"/>
      <c r="AM150" s="26"/>
      <c r="AN150" s="26"/>
      <c r="AX150" s="100"/>
    </row>
    <row r="151" spans="3:50" ht="14.1" thickBot="1">
      <c r="C151" s="26" t="s">
        <v>392</v>
      </c>
      <c r="D151" s="37"/>
      <c r="E151" s="37"/>
      <c r="F151" s="37"/>
      <c r="G151" s="37"/>
      <c r="H151" s="37"/>
      <c r="I151" s="37"/>
      <c r="J151" s="37"/>
      <c r="K151" s="37"/>
      <c r="L151" s="37"/>
      <c r="M151" s="37"/>
      <c r="N151" s="37"/>
      <c r="O151" s="37"/>
      <c r="P151" s="37"/>
      <c r="Q151" s="37"/>
      <c r="R151" s="37"/>
      <c r="S151" s="37"/>
      <c r="T151" s="37"/>
      <c r="AK151" s="103" t="s">
        <v>421</v>
      </c>
      <c r="AL151" s="104"/>
      <c r="AM151" s="104"/>
      <c r="AN151" s="104"/>
      <c r="AO151" s="105"/>
      <c r="AP151" s="105"/>
      <c r="AQ151" s="105"/>
      <c r="AR151" s="105"/>
      <c r="AS151" s="105"/>
      <c r="AT151" s="105"/>
      <c r="AU151" s="105"/>
      <c r="AV151" s="105"/>
      <c r="AW151" s="105"/>
      <c r="AX151" s="106"/>
    </row>
    <row r="152" spans="3:50">
      <c r="C152" s="26" t="s">
        <v>395</v>
      </c>
      <c r="D152" s="37"/>
      <c r="E152" s="37"/>
      <c r="F152" s="37"/>
      <c r="G152" s="37"/>
      <c r="H152" s="37"/>
      <c r="I152" s="37"/>
      <c r="J152" s="37"/>
      <c r="K152" s="37"/>
      <c r="L152" s="37"/>
      <c r="M152" s="37"/>
      <c r="N152" s="37"/>
      <c r="O152" s="37"/>
      <c r="P152" s="37"/>
      <c r="Q152" s="37"/>
      <c r="R152" s="37"/>
      <c r="S152" s="37"/>
      <c r="T152" s="37"/>
    </row>
    <row r="153" spans="3:50">
      <c r="C153" s="26" t="s">
        <v>397</v>
      </c>
      <c r="D153" s="37"/>
      <c r="E153" s="37"/>
      <c r="F153" s="37"/>
      <c r="G153" s="37"/>
      <c r="H153" s="37"/>
      <c r="I153" s="37"/>
      <c r="J153" s="37"/>
      <c r="K153" s="37"/>
      <c r="L153" s="37"/>
      <c r="M153" s="37"/>
      <c r="N153" s="37"/>
      <c r="O153" s="37"/>
      <c r="P153" s="37"/>
      <c r="Q153" s="37"/>
      <c r="R153" s="37"/>
      <c r="S153" s="37"/>
      <c r="T153" s="37"/>
    </row>
    <row r="154" spans="3:50">
      <c r="C154" s="26" t="s">
        <v>401</v>
      </c>
      <c r="D154" s="37"/>
      <c r="E154" s="37"/>
      <c r="F154" s="37"/>
      <c r="G154" s="37"/>
      <c r="H154" s="37"/>
      <c r="I154" s="37"/>
      <c r="J154" s="37"/>
      <c r="K154" s="37"/>
      <c r="L154" s="37"/>
      <c r="M154" s="37"/>
      <c r="N154" s="37"/>
      <c r="O154" s="37"/>
      <c r="P154" s="37"/>
      <c r="Q154" s="37"/>
      <c r="R154" s="37"/>
      <c r="S154" s="37"/>
      <c r="T154" s="37"/>
    </row>
    <row r="155" spans="3:50">
      <c r="C155" s="26" t="s">
        <v>403</v>
      </c>
      <c r="D155" s="37"/>
      <c r="E155" s="37"/>
      <c r="F155" s="37"/>
      <c r="G155" s="37"/>
      <c r="H155" s="37"/>
      <c r="I155" s="37"/>
      <c r="J155" s="37"/>
      <c r="K155" s="37"/>
      <c r="L155" s="37"/>
      <c r="M155" s="37"/>
      <c r="N155" s="37"/>
      <c r="O155" s="37"/>
      <c r="P155" s="37"/>
      <c r="Q155" s="37"/>
      <c r="R155" s="37"/>
      <c r="S155" s="37"/>
      <c r="T155" s="37"/>
    </row>
    <row r="156" spans="3:50">
      <c r="C156" s="167" t="s">
        <v>383</v>
      </c>
      <c r="D156" s="37"/>
      <c r="E156" s="37"/>
      <c r="F156" s="37"/>
      <c r="G156" s="37"/>
      <c r="H156" s="37"/>
      <c r="I156" s="37"/>
      <c r="J156" s="37"/>
      <c r="K156" s="37"/>
      <c r="L156" s="37"/>
      <c r="M156" s="37"/>
      <c r="N156" s="37"/>
      <c r="O156" s="37"/>
      <c r="P156" s="37"/>
      <c r="Q156" s="37"/>
      <c r="R156" s="37"/>
      <c r="S156" s="37"/>
      <c r="T156" s="37"/>
    </row>
    <row r="157" spans="3:50">
      <c r="C157" s="167" t="s">
        <v>383</v>
      </c>
      <c r="D157" s="37"/>
      <c r="E157" s="37"/>
      <c r="F157" s="37"/>
      <c r="G157" s="37"/>
      <c r="H157" s="37"/>
      <c r="I157" s="37"/>
      <c r="J157" s="37"/>
      <c r="K157" s="37"/>
      <c r="L157" s="37"/>
      <c r="M157" s="37"/>
      <c r="N157" s="37"/>
      <c r="O157" s="37"/>
      <c r="P157" s="37"/>
      <c r="Q157" s="37"/>
      <c r="R157" s="37"/>
      <c r="S157" s="37"/>
      <c r="T157" s="37"/>
    </row>
    <row r="158" spans="3:50">
      <c r="C158" s="167" t="s">
        <v>383</v>
      </c>
      <c r="D158" s="37"/>
      <c r="E158" s="37"/>
      <c r="F158" s="37"/>
      <c r="G158" s="37"/>
      <c r="H158" s="37"/>
      <c r="I158" s="37"/>
      <c r="J158" s="37"/>
      <c r="K158" s="37"/>
      <c r="L158" s="37"/>
      <c r="M158" s="37"/>
      <c r="N158" s="37"/>
      <c r="O158" s="37"/>
      <c r="P158" s="37"/>
      <c r="Q158" s="37"/>
      <c r="R158" s="37"/>
      <c r="S158" s="37"/>
      <c r="T158" s="37"/>
    </row>
    <row r="159" spans="3:50" ht="14.1">
      <c r="C159" s="197" t="s">
        <v>409</v>
      </c>
      <c r="D159" s="197">
        <f t="shared" ref="D159:T159" si="17">SUM(D148:D158)</f>
        <v>0</v>
      </c>
      <c r="E159" s="197">
        <f t="shared" si="17"/>
        <v>0</v>
      </c>
      <c r="F159" s="197">
        <f t="shared" si="17"/>
        <v>0</v>
      </c>
      <c r="G159" s="197">
        <f t="shared" si="17"/>
        <v>0</v>
      </c>
      <c r="H159" s="197">
        <f t="shared" si="17"/>
        <v>0</v>
      </c>
      <c r="I159" s="197">
        <f t="shared" si="17"/>
        <v>0</v>
      </c>
      <c r="J159" s="197">
        <f t="shared" si="17"/>
        <v>0</v>
      </c>
      <c r="K159" s="197">
        <f t="shared" si="17"/>
        <v>0</v>
      </c>
      <c r="L159" s="197">
        <f t="shared" si="17"/>
        <v>0</v>
      </c>
      <c r="M159" s="197">
        <f t="shared" si="17"/>
        <v>0</v>
      </c>
      <c r="N159" s="197">
        <f t="shared" si="17"/>
        <v>0</v>
      </c>
      <c r="O159" s="197">
        <f t="shared" si="17"/>
        <v>0</v>
      </c>
      <c r="P159" s="197">
        <f t="shared" si="17"/>
        <v>0</v>
      </c>
      <c r="Q159" s="197">
        <f t="shared" si="17"/>
        <v>0</v>
      </c>
      <c r="R159" s="197">
        <f t="shared" si="17"/>
        <v>0</v>
      </c>
      <c r="S159" s="197">
        <f t="shared" si="17"/>
        <v>0</v>
      </c>
      <c r="T159" s="197">
        <f t="shared" si="17"/>
        <v>0</v>
      </c>
    </row>
  </sheetData>
  <sheetProtection algorithmName="SHA-512" hashValue="e3COgmdDW6mbfIm92/Y3E/uYdEPeiPh4AbztGFC/KGSR4m61tcS4dLBI8p5fdxMOq10KXokNmg3UwoQ6MpZNvQ==" saltValue="LfZ6oQLu4zhI3UdXRIm2gA==" spinCount="100000" sheet="1" objects="1" scenarios="1"/>
  <mergeCells count="92">
    <mergeCell ref="I99:L99"/>
    <mergeCell ref="C100:L103"/>
    <mergeCell ref="D109:F109"/>
    <mergeCell ref="D114:F114"/>
    <mergeCell ref="C96:C97"/>
    <mergeCell ref="D96:H96"/>
    <mergeCell ref="G97:H97"/>
    <mergeCell ref="D98:E98"/>
    <mergeCell ref="G98:H98"/>
    <mergeCell ref="D99:E99"/>
    <mergeCell ref="G99:H99"/>
    <mergeCell ref="I98:L98"/>
    <mergeCell ref="I93:L93"/>
    <mergeCell ref="D86:F86"/>
    <mergeCell ref="I86:L86"/>
    <mergeCell ref="D87:F87"/>
    <mergeCell ref="H87:H88"/>
    <mergeCell ref="I87:L87"/>
    <mergeCell ref="D88:F88"/>
    <mergeCell ref="I88:L88"/>
    <mergeCell ref="I89:L89"/>
    <mergeCell ref="D90:F90"/>
    <mergeCell ref="I90:L90"/>
    <mergeCell ref="I91:L91"/>
    <mergeCell ref="I92:L92"/>
    <mergeCell ref="D85:F85"/>
    <mergeCell ref="I85:L85"/>
    <mergeCell ref="V65:Z65"/>
    <mergeCell ref="F66:J66"/>
    <mergeCell ref="G67:J67"/>
    <mergeCell ref="G68:J68"/>
    <mergeCell ref="G69:J69"/>
    <mergeCell ref="I80:L80"/>
    <mergeCell ref="I81:L81"/>
    <mergeCell ref="I82:L82"/>
    <mergeCell ref="I83:L83"/>
    <mergeCell ref="I84:L84"/>
    <mergeCell ref="C78:C79"/>
    <mergeCell ref="D78:G78"/>
    <mergeCell ref="H78:H79"/>
    <mergeCell ref="F60:J60"/>
    <mergeCell ref="F61:J61"/>
    <mergeCell ref="F62:J62"/>
    <mergeCell ref="F63:J63"/>
    <mergeCell ref="F64:J64"/>
    <mergeCell ref="F65:J65"/>
    <mergeCell ref="F57:J57"/>
    <mergeCell ref="AO36:AT36"/>
    <mergeCell ref="G37:J37"/>
    <mergeCell ref="G38:J38"/>
    <mergeCell ref="G39:J39"/>
    <mergeCell ref="F44:J44"/>
    <mergeCell ref="G36:J36"/>
    <mergeCell ref="H50:J50"/>
    <mergeCell ref="H51:J51"/>
    <mergeCell ref="F54:J54"/>
    <mergeCell ref="F55:J55"/>
    <mergeCell ref="F56:J56"/>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11:O11"/>
    <mergeCell ref="V1:BB1"/>
    <mergeCell ref="C7:O7"/>
    <mergeCell ref="D8:O8"/>
    <mergeCell ref="D9:O9"/>
    <mergeCell ref="D10:O10"/>
    <mergeCell ref="AN16:BB16"/>
    <mergeCell ref="E17:F17"/>
    <mergeCell ref="G17:H17"/>
    <mergeCell ref="I17:J17"/>
    <mergeCell ref="K17:K18"/>
    <mergeCell ref="L17:N17"/>
    <mergeCell ref="AG17:AK17"/>
    <mergeCell ref="AN17:AR17"/>
    <mergeCell ref="AS17:AW17"/>
    <mergeCell ref="AX17:BB17"/>
  </mergeCells>
  <conditionalFormatting sqref="C29:J30">
    <cfRule type="expression" dxfId="33" priority="32">
      <formula>$V$40=0</formula>
    </cfRule>
  </conditionalFormatting>
  <conditionalFormatting sqref="K19:K24">
    <cfRule type="expression" dxfId="32" priority="31">
      <formula>V19=1</formula>
    </cfRule>
  </conditionalFormatting>
  <conditionalFormatting sqref="E19:J19 E20:H21 J20:J21 E22:J22 E23:I24">
    <cfRule type="expression" dxfId="31" priority="29">
      <formula>$W19=0</formula>
    </cfRule>
    <cfRule type="expression" dxfId="30" priority="30">
      <formula>$W19=1</formula>
    </cfRule>
  </conditionalFormatting>
  <conditionalFormatting sqref="M19:N24">
    <cfRule type="expression" dxfId="29" priority="27">
      <formula>$X19=0</formula>
    </cfRule>
    <cfRule type="expression" dxfId="28" priority="28">
      <formula>$X19=1</formula>
    </cfRule>
  </conditionalFormatting>
  <conditionalFormatting sqref="N19:N24">
    <cfRule type="expression" dxfId="27" priority="26">
      <formula>$L19&lt;&gt;""</formula>
    </cfRule>
  </conditionalFormatting>
  <conditionalFormatting sqref="C43:J43 C44:F44 C45:C46">
    <cfRule type="expression" dxfId="26" priority="25">
      <formula>$V$46=0</formula>
    </cfRule>
  </conditionalFormatting>
  <conditionalFormatting sqref="I20:I21">
    <cfRule type="expression" dxfId="25" priority="23">
      <formula>$W20=0</formula>
    </cfRule>
    <cfRule type="expression" dxfId="24" priority="24">
      <formula>$W20=1</formula>
    </cfRule>
  </conditionalFormatting>
  <conditionalFormatting sqref="H85">
    <cfRule type="iconSet" priority="19">
      <iconSet>
        <cfvo type="percent" val="0"/>
        <cfvo type="percent" val="33"/>
        <cfvo type="percent" val="67"/>
      </iconSet>
    </cfRule>
  </conditionalFormatting>
  <conditionalFormatting sqref="J23:J24">
    <cfRule type="expression" dxfId="23" priority="33">
      <formula>$W23=0</formula>
    </cfRule>
    <cfRule type="expression" dxfId="22" priority="34">
      <formula>$W23=1</formula>
    </cfRule>
  </conditionalFormatting>
  <conditionalFormatting sqref="E25:F26">
    <cfRule type="expression" dxfId="21" priority="35">
      <formula>$V$29=0</formula>
    </cfRule>
    <cfRule type="expression" dxfId="20" priority="36">
      <formula>$V$29&gt;0</formula>
    </cfRule>
  </conditionalFormatting>
  <conditionalFormatting sqref="G25:H26">
    <cfRule type="expression" dxfId="19" priority="37">
      <formula>$W$29=0</formula>
    </cfRule>
    <cfRule type="expression" dxfId="18" priority="38">
      <formula>$W$29&gt;0</formula>
    </cfRule>
  </conditionalFormatting>
  <conditionalFormatting sqref="I27:J27">
    <cfRule type="expression" dxfId="17" priority="39">
      <formula>$X$29=0</formula>
    </cfRule>
    <cfRule type="expression" dxfId="16" priority="40">
      <formula>$X$29&gt;0</formula>
    </cfRule>
  </conditionalFormatting>
  <conditionalFormatting sqref="D80:D91">
    <cfRule type="expression" dxfId="15" priority="41">
      <formula>$V$29=0</formula>
    </cfRule>
  </conditionalFormatting>
  <conditionalFormatting sqref="E80:E84 E89 E91">
    <cfRule type="expression" dxfId="14" priority="42">
      <formula>$W$29=0</formula>
    </cfRule>
  </conditionalFormatting>
  <conditionalFormatting sqref="F82:F84 F89 F91">
    <cfRule type="expression" dxfId="13" priority="43">
      <formula>$V$30=0</formula>
    </cfRule>
  </conditionalFormatting>
  <conditionalFormatting sqref="G27:H27">
    <cfRule type="expression" dxfId="12" priority="44">
      <formula>$W$29&gt;0</formula>
    </cfRule>
  </conditionalFormatting>
  <conditionalFormatting sqref="F44:J44">
    <cfRule type="expression" dxfId="11" priority="11">
      <formula>$V$46=0</formula>
    </cfRule>
  </conditionalFormatting>
  <conditionalFormatting sqref="D92">
    <cfRule type="expression" dxfId="10" priority="4">
      <formula>$D$92=0</formula>
    </cfRule>
    <cfRule type="expression" dxfId="9" priority="45">
      <formula>$E$44&lt;&gt;Nei</formula>
    </cfRule>
  </conditionalFormatting>
  <conditionalFormatting sqref="E37">
    <cfRule type="expression" dxfId="8" priority="9">
      <formula>$E$36=""</formula>
    </cfRule>
    <cfRule type="expression" dxfId="7" priority="10">
      <formula>$E$36=0</formula>
    </cfRule>
  </conditionalFormatting>
  <conditionalFormatting sqref="D86:F86">
    <cfRule type="expression" dxfId="6" priority="8">
      <formula>$D$86=0</formula>
    </cfRule>
  </conditionalFormatting>
  <conditionalFormatting sqref="D87:F87">
    <cfRule type="expression" dxfId="5" priority="7">
      <formula>$D$87=0</formula>
    </cfRule>
  </conditionalFormatting>
  <conditionalFormatting sqref="D88:F88">
    <cfRule type="expression" dxfId="4" priority="6">
      <formula>$D$88=0</formula>
    </cfRule>
  </conditionalFormatting>
  <conditionalFormatting sqref="D90:F90">
    <cfRule type="expression" dxfId="3" priority="5">
      <formula>$D$90=0</formula>
    </cfRule>
  </conditionalFormatting>
  <conditionalFormatting sqref="AB4:AC4">
    <cfRule type="expression" dxfId="2" priority="3">
      <formula>$Z$11=0</formula>
    </cfRule>
  </conditionalFormatting>
  <conditionalFormatting sqref="C130:T159">
    <cfRule type="expression" dxfId="1" priority="2">
      <formula>$D$128=$AA$126</formula>
    </cfRule>
  </conditionalFormatting>
  <conditionalFormatting sqref="D81">
    <cfRule type="expression" dxfId="0" priority="1">
      <formula>$E$25+$E$26=0</formula>
    </cfRule>
  </conditionalFormatting>
  <dataValidations count="7">
    <dataValidation type="whole" operator="lessThan" allowBlank="1" showInputMessage="1" showErrorMessage="1" error="Oppgi produsert strøm fra solceller som negativt tall" sqref="E39" xr:uid="{81B02B5B-3623-4900-9237-5832B542FDE8}">
      <formula1>1</formula1>
    </dataValidation>
    <dataValidation type="list" allowBlank="1" showInputMessage="1" showErrorMessage="1" sqref="E44" xr:uid="{93AB5B1C-B7C8-4E7D-802D-CBF31A0BB350}">
      <formula1>$AA$45:$AA$47</formula1>
    </dataValidation>
    <dataValidation type="list" allowBlank="1" showInputMessage="1" showErrorMessage="1" sqref="D41" xr:uid="{457639FE-32FC-4951-B390-3ABA87B1F5B9}">
      <formula1>$AA$40:$AA$42</formula1>
    </dataValidation>
    <dataValidation type="list" allowBlank="1" showInputMessage="1" showErrorMessage="1" sqref="G50:G51" xr:uid="{270F788A-F29A-4147-AC42-5230F6C3602E}">
      <formula1>$V$53:$V$56</formula1>
    </dataValidation>
    <dataValidation type="list" allowBlank="1" showInputMessage="1" showErrorMessage="1" sqref="D23:D24" xr:uid="{2E49F653-C3FB-4A1F-ADC9-B4A7A294F1D7}">
      <formula1>$AK$147:$AK$149</formula1>
    </dataValidation>
    <dataValidation type="list" allowBlank="1" showInputMessage="1" showErrorMessage="1" sqref="D19:D22" xr:uid="{7469D427-AB03-4F30-943A-4152350B18F0}">
      <formula1>$AK$133:$AK$145</formula1>
    </dataValidation>
    <dataValidation type="list" allowBlank="1" showInputMessage="1" showErrorMessage="1" sqref="D128" xr:uid="{502AC9F7-6A28-4507-BEA8-B6D65FB923F5}">
      <formula1>$AA$125:$AA$126</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1" id="{3FAC7115-540B-4FC7-99B6-1A3CBDAB608A}">
            <x14:iconSet custom="1">
              <x14:cfvo type="percent">
                <xm:f>0</xm:f>
              </x14:cfvo>
              <x14:cfvo type="num">
                <xm:f>0</xm:f>
              </x14:cfvo>
              <x14:cfvo type="num" gte="0">
                <xm:f>0</xm:f>
              </x14:cfvo>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2" id="{83E43B82-08C6-46A1-8051-CFD36B0F7D90}">
            <x14:iconSet custom="1">
              <x14:cfvo type="percent">
                <xm:f>0</xm:f>
              </x14:cfvo>
              <x14:cfvo type="num">
                <xm:f>0.09</xm:f>
              </x14:cfvo>
              <x14:cfvo type="num">
                <xm:f>0.11</xm:f>
              </x14:cfvo>
              <x14:cfIcon iconSet="3TrafficLights1" iconId="1"/>
              <x14:cfIcon iconSet="3TrafficLights1" iconId="2"/>
              <x14:cfIcon iconSet="3TrafficLights1" iconId="0"/>
            </x14:iconSet>
          </x14:cfRule>
          <xm:sqref>H80</xm:sqref>
        </x14:conditionalFormatting>
        <x14:conditionalFormatting xmlns:xm="http://schemas.microsoft.com/office/excel/2006/main">
          <x14:cfRule type="iconSet" priority="17" id="{53E9F62B-0BCF-4424-A114-DDEA1EC0346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H81</xm:sqref>
        </x14:conditionalFormatting>
        <x14:conditionalFormatting xmlns:xm="http://schemas.microsoft.com/office/excel/2006/main">
          <x14:cfRule type="iconSet" priority="18" id="{357233E2-867A-434E-80B1-1F95FAFAAF9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6" id="{F3CBA300-F157-4909-A1E5-F8CDA130E24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H83</xm:sqref>
        </x14:conditionalFormatting>
        <x14:conditionalFormatting xmlns:xm="http://schemas.microsoft.com/office/excel/2006/main">
          <x14:cfRule type="iconSet" priority="15" id="{9DDED1A2-0744-44F1-8B30-40203D01CB4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2" id="{93BBECFB-5D01-4FBD-84B8-57C43B2E97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H91</xm:sqref>
        </x14:conditionalFormatting>
        <x14:conditionalFormatting xmlns:xm="http://schemas.microsoft.com/office/excel/2006/main">
          <x14:cfRule type="iconSet" priority="13" id="{47F4AAD1-AA99-4E49-B884-1D88CD84DFB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4" id="{7911F1B4-4248-47BA-AF42-637C255C4D8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0" id="{43B10100-9F6A-403E-94DA-354BB7A242AD}">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H86</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C026-8219-49D1-B20C-2F3DBB19510A}">
  <sheetPr codeName="Sheet7">
    <pageSetUpPr fitToPage="1"/>
  </sheetPr>
  <dimension ref="A1:BI149"/>
  <sheetViews>
    <sheetView showGridLines="0" zoomScaleNormal="100" workbookViewId="0">
      <selection activeCell="E133" sqref="E133"/>
    </sheetView>
  </sheetViews>
  <sheetFormatPr baseColWidth="10" defaultColWidth="9.15625" defaultRowHeight="13.8"/>
  <cols>
    <col min="1" max="1" width="4.41796875" style="2" customWidth="1"/>
    <col min="2" max="2" width="58.15625" style="2" bestFit="1" customWidth="1"/>
    <col min="3" max="3" width="9.26171875" style="2" bestFit="1" customWidth="1"/>
    <col min="4" max="4" width="31.83984375" style="2" customWidth="1"/>
    <col min="5" max="5" width="43.41796875" style="2" customWidth="1"/>
    <col min="6" max="6" width="9.26171875" style="2" bestFit="1" customWidth="1"/>
    <col min="7" max="7" width="34.68359375" style="2" customWidth="1"/>
    <col min="8" max="8" width="32.83984375" style="2" customWidth="1"/>
    <col min="9" max="9" width="9.26171875" style="2" bestFit="1" customWidth="1"/>
    <col min="10" max="10" width="11.68359375" style="2" hidden="1" customWidth="1"/>
    <col min="11" max="12" width="9.26171875" style="2" hidden="1" customWidth="1"/>
    <col min="13" max="14" width="9.83984375" style="2" hidden="1" customWidth="1"/>
    <col min="15" max="15" width="24.41796875" style="2" hidden="1" customWidth="1"/>
    <col min="16" max="16" width="9.26171875" style="2" hidden="1" customWidth="1"/>
    <col min="17" max="17" width="20.26171875" style="2" hidden="1" customWidth="1"/>
    <col min="18" max="18" width="17.41796875" style="2" hidden="1" customWidth="1"/>
    <col min="19" max="20" width="0" style="2" hidden="1" customWidth="1"/>
    <col min="21" max="21" width="18.26171875" style="2" hidden="1" customWidth="1"/>
    <col min="22" max="28" width="0" style="2" hidden="1" customWidth="1"/>
    <col min="29" max="29" width="9.26171875" style="2" hidden="1" customWidth="1"/>
    <col min="30" max="39" width="0" style="2" hidden="1" customWidth="1"/>
    <col min="40" max="40" width="9.26171875" style="2" hidden="1" customWidth="1"/>
    <col min="41" max="61" width="0" style="2" hidden="1" customWidth="1"/>
    <col min="62" max="16384" width="9.15625" style="2"/>
  </cols>
  <sheetData>
    <row r="1" spans="2:61">
      <c r="J1" s="209" t="s">
        <v>331</v>
      </c>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row>
    <row r="3" spans="2:61" ht="24.9">
      <c r="B3" s="23" t="s">
        <v>430</v>
      </c>
    </row>
    <row r="6" spans="2:61" hidden="1"/>
    <row r="7" spans="2:61" hidden="1"/>
    <row r="8" spans="2:61" hidden="1"/>
    <row r="9" spans="2:61" hidden="1"/>
    <row r="10" spans="2:61" hidden="1"/>
    <row r="11" spans="2:61" hidden="1"/>
    <row r="12" spans="2:61" hidden="1"/>
    <row r="13" spans="2:61" ht="24.9">
      <c r="B13" s="23" t="s">
        <v>431</v>
      </c>
    </row>
    <row r="14" spans="2:61" hidden="1"/>
    <row r="15" spans="2:61" hidden="1"/>
    <row r="16" spans="2:61" hidden="1">
      <c r="B16" s="6">
        <v>1</v>
      </c>
      <c r="C16" s="6">
        <v>2</v>
      </c>
      <c r="D16" s="6">
        <v>3</v>
      </c>
      <c r="E16" s="6">
        <v>4</v>
      </c>
      <c r="F16" s="6">
        <v>5</v>
      </c>
      <c r="G16" s="6">
        <v>6</v>
      </c>
    </row>
    <row r="18" spans="2:34" ht="14.1">
      <c r="B18" s="414" t="s">
        <v>432</v>
      </c>
      <c r="C18" s="414"/>
      <c r="D18" s="414"/>
      <c r="E18" s="414"/>
      <c r="F18" s="414"/>
      <c r="G18" s="414"/>
      <c r="K18" s="414" t="s">
        <v>433</v>
      </c>
      <c r="L18" s="414"/>
      <c r="M18" s="414"/>
      <c r="N18" s="414"/>
      <c r="O18" s="414"/>
      <c r="P18" s="414"/>
    </row>
    <row r="19" spans="2:34">
      <c r="B19" s="248"/>
      <c r="C19" s="248" t="s">
        <v>167</v>
      </c>
      <c r="D19" s="248" t="s">
        <v>168</v>
      </c>
      <c r="E19" s="248" t="s">
        <v>169</v>
      </c>
      <c r="F19" s="248" t="s">
        <v>170</v>
      </c>
      <c r="G19" s="248" t="s">
        <v>171</v>
      </c>
      <c r="H19" s="248" t="s">
        <v>164</v>
      </c>
      <c r="K19" s="248" t="s">
        <v>434</v>
      </c>
      <c r="L19" s="248" t="s">
        <v>167</v>
      </c>
      <c r="M19" s="248" t="s">
        <v>168</v>
      </c>
      <c r="N19" s="248" t="s">
        <v>169</v>
      </c>
      <c r="O19" s="248" t="s">
        <v>170</v>
      </c>
      <c r="P19" s="248" t="s">
        <v>171</v>
      </c>
      <c r="Q19" s="248" t="s">
        <v>164</v>
      </c>
    </row>
    <row r="20" spans="2:34">
      <c r="B20" s="9" t="s">
        <v>249</v>
      </c>
      <c r="C20" s="213">
        <v>229.97302972232103</v>
      </c>
      <c r="D20" s="213">
        <v>20.970857763157891</v>
      </c>
      <c r="E20" s="213">
        <v>10.056182418812988</v>
      </c>
      <c r="F20" s="213">
        <v>67.418219511823665</v>
      </c>
      <c r="G20" s="213">
        <v>10.799485339355408</v>
      </c>
      <c r="H20" s="9" t="s">
        <v>435</v>
      </c>
      <c r="J20" s="6" t="str">
        <f>"Industri, "&amp;K20</f>
        <v>Industri, 4</v>
      </c>
      <c r="K20" s="9">
        <v>4</v>
      </c>
      <c r="L20" s="213">
        <v>251.87433729041996</v>
      </c>
      <c r="M20" s="213">
        <v>19.206289839519052</v>
      </c>
      <c r="N20" s="213">
        <v>12.370940121057368</v>
      </c>
      <c r="O20" s="213">
        <v>69.024171964914515</v>
      </c>
      <c r="P20" s="213">
        <v>5.4326422660909071</v>
      </c>
      <c r="Q20" s="9" t="s">
        <v>436</v>
      </c>
    </row>
    <row r="21" spans="2:34">
      <c r="B21" s="9" t="s">
        <v>239</v>
      </c>
      <c r="C21" s="213">
        <v>281.03078214163173</v>
      </c>
      <c r="D21" s="213">
        <v>32.248136911764703</v>
      </c>
      <c r="E21" s="213">
        <v>15.288913854739839</v>
      </c>
      <c r="F21" s="213">
        <v>41.84550912717426</v>
      </c>
      <c r="G21" s="213">
        <v>16.18387003686977</v>
      </c>
      <c r="H21" s="9" t="s">
        <v>435</v>
      </c>
      <c r="J21" s="6" t="str">
        <f t="shared" ref="J21:J30" si="0">"Industri, "&amp;K21</f>
        <v>Industri, 5</v>
      </c>
      <c r="K21" s="9">
        <v>5</v>
      </c>
      <c r="L21" s="213">
        <v>261.27438258168564</v>
      </c>
      <c r="M21" s="213">
        <v>20.067167614593636</v>
      </c>
      <c r="N21" s="213">
        <v>12.824723823157976</v>
      </c>
      <c r="O21" s="213">
        <v>75.219849273831727</v>
      </c>
      <c r="P21" s="213">
        <v>5.5860320990985359</v>
      </c>
      <c r="Q21" s="9" t="s">
        <v>436</v>
      </c>
    </row>
    <row r="22" spans="2:34">
      <c r="B22" s="9" t="s">
        <v>253</v>
      </c>
      <c r="C22" s="213">
        <v>226.03369433864987</v>
      </c>
      <c r="D22" s="213">
        <v>21.845613308997628</v>
      </c>
      <c r="E22" s="213">
        <v>10.542766377269137</v>
      </c>
      <c r="F22" s="213">
        <v>43.204220070465297</v>
      </c>
      <c r="G22" s="213">
        <v>11.448374112075768</v>
      </c>
      <c r="H22" s="9" t="s">
        <v>435</v>
      </c>
      <c r="J22" s="6" t="str">
        <f t="shared" si="0"/>
        <v>Industri, 6</v>
      </c>
      <c r="K22" s="9">
        <v>6</v>
      </c>
      <c r="L22" s="213">
        <v>270.67442787295136</v>
      </c>
      <c r="M22" s="213">
        <v>20.92804538966822</v>
      </c>
      <c r="N22" s="213">
        <v>13.278507525258577</v>
      </c>
      <c r="O22" s="213">
        <v>81.415526582748925</v>
      </c>
      <c r="P22" s="213">
        <v>5.7394219321061657</v>
      </c>
      <c r="Q22" s="9" t="s">
        <v>436</v>
      </c>
    </row>
    <row r="23" spans="2:34">
      <c r="B23" s="9" t="s">
        <v>270</v>
      </c>
      <c r="C23" s="213">
        <v>201.80077244654831</v>
      </c>
      <c r="D23" s="213">
        <v>21.269847007696388</v>
      </c>
      <c r="E23" s="213">
        <v>9.977705026920507</v>
      </c>
      <c r="F23" s="213">
        <v>48.149226406608214</v>
      </c>
      <c r="G23" s="213">
        <v>9.5482817179172734</v>
      </c>
      <c r="H23" s="9" t="s">
        <v>435</v>
      </c>
      <c r="J23" s="6" t="str">
        <f t="shared" si="0"/>
        <v>Industri, 7</v>
      </c>
      <c r="K23" s="9">
        <v>7</v>
      </c>
      <c r="L23" s="213">
        <v>280.07447316421701</v>
      </c>
      <c r="M23" s="213">
        <v>21.788923164742801</v>
      </c>
      <c r="N23" s="213">
        <v>13.732291227359186</v>
      </c>
      <c r="O23" s="213">
        <v>87.611203891666122</v>
      </c>
      <c r="P23" s="213">
        <v>5.8928117651137963</v>
      </c>
      <c r="Q23" s="9" t="s">
        <v>436</v>
      </c>
    </row>
    <row r="24" spans="2:34">
      <c r="B24" s="9" t="s">
        <v>258</v>
      </c>
      <c r="C24" s="213">
        <v>246.61665609337749</v>
      </c>
      <c r="D24" s="213">
        <v>25.083773220703122</v>
      </c>
      <c r="E24" s="213">
        <v>12.624557043692633</v>
      </c>
      <c r="F24" s="213">
        <v>52.682923689105273</v>
      </c>
      <c r="G24" s="213">
        <v>15.025922923538479</v>
      </c>
      <c r="H24" s="9" t="s">
        <v>435</v>
      </c>
      <c r="J24" s="6" t="str">
        <f t="shared" si="0"/>
        <v>Industri, 8</v>
      </c>
      <c r="K24" s="9">
        <v>8</v>
      </c>
      <c r="L24" s="213">
        <v>291.52411599189003</v>
      </c>
      <c r="M24" s="213">
        <v>22.768677589666581</v>
      </c>
      <c r="N24" s="213">
        <v>14.267856957279754</v>
      </c>
      <c r="O24" s="213">
        <v>93.806881200583319</v>
      </c>
      <c r="P24" s="213">
        <v>6.0514974954027316</v>
      </c>
      <c r="Q24" s="9" t="s">
        <v>436</v>
      </c>
    </row>
    <row r="25" spans="2:34">
      <c r="B25" s="9" t="s">
        <v>404</v>
      </c>
      <c r="C25" s="213">
        <v>136.25972936244727</v>
      </c>
      <c r="D25" s="213">
        <v>15.79929793193717</v>
      </c>
      <c r="E25" s="213">
        <v>13.940336052836052</v>
      </c>
      <c r="F25" s="213">
        <v>34.390432069185721</v>
      </c>
      <c r="G25" s="213">
        <v>16.498318852502099</v>
      </c>
      <c r="H25" s="9" t="s">
        <v>435</v>
      </c>
      <c r="J25" s="6" t="str">
        <f t="shared" si="0"/>
        <v>Industri, 9</v>
      </c>
      <c r="K25" s="9">
        <v>9</v>
      </c>
      <c r="L25" s="213">
        <v>304.10689115399464</v>
      </c>
      <c r="M25" s="213">
        <v>23.814153685972311</v>
      </c>
      <c r="N25" s="213">
        <v>14.848636373522673</v>
      </c>
      <c r="O25" s="213">
        <v>100.00255850950052</v>
      </c>
      <c r="P25" s="213">
        <v>6.2131110943793884</v>
      </c>
      <c r="Q25" s="9" t="s">
        <v>436</v>
      </c>
      <c r="AG25" s="2" t="s">
        <v>437</v>
      </c>
      <c r="AH25" s="6" t="s">
        <v>438</v>
      </c>
    </row>
    <row r="26" spans="2:34">
      <c r="B26" s="9" t="s">
        <v>417</v>
      </c>
      <c r="C26" s="213">
        <v>198.75085331496348</v>
      </c>
      <c r="D26" s="213">
        <v>14.357046820811112</v>
      </c>
      <c r="E26" s="213">
        <v>9.4013185843629312</v>
      </c>
      <c r="F26" s="213">
        <v>38.625417260754631</v>
      </c>
      <c r="G26" s="213">
        <v>13.194482325543705</v>
      </c>
      <c r="H26" s="9" t="s">
        <v>435</v>
      </c>
      <c r="J26" s="6" t="str">
        <f t="shared" si="0"/>
        <v>Industri, 10</v>
      </c>
      <c r="K26" s="9">
        <v>10</v>
      </c>
      <c r="L26" s="213">
        <v>317.34000635583004</v>
      </c>
      <c r="M26" s="213">
        <v>24.897349502278043</v>
      </c>
      <c r="N26" s="213">
        <v>15.455365336579998</v>
      </c>
      <c r="O26" s="213">
        <v>106.19823581841774</v>
      </c>
      <c r="P26" s="213">
        <v>6.376405088646905</v>
      </c>
      <c r="Q26" s="9" t="s">
        <v>436</v>
      </c>
      <c r="AG26" s="2" t="s">
        <v>439</v>
      </c>
    </row>
    <row r="27" spans="2:34">
      <c r="B27" s="9" t="s">
        <v>419</v>
      </c>
      <c r="C27" s="213">
        <v>158.78581602584777</v>
      </c>
      <c r="D27" s="213">
        <v>12.226331350786714</v>
      </c>
      <c r="E27" s="213">
        <v>7.0415635869287962</v>
      </c>
      <c r="F27" s="213">
        <v>4.4907839912688345</v>
      </c>
      <c r="G27" s="213">
        <v>10.281675935790362</v>
      </c>
      <c r="H27" s="9" t="s">
        <v>435</v>
      </c>
      <c r="J27" s="6" t="str">
        <f t="shared" si="0"/>
        <v>Industri, 11</v>
      </c>
      <c r="K27" s="9">
        <v>11</v>
      </c>
      <c r="L27" s="213">
        <v>331.22346159739607</v>
      </c>
      <c r="M27" s="213">
        <v>26.018265038583777</v>
      </c>
      <c r="N27" s="213">
        <v>16.088043846451725</v>
      </c>
      <c r="O27" s="213">
        <v>112.39391312733493</v>
      </c>
      <c r="P27" s="213">
        <v>6.5413794782052808</v>
      </c>
      <c r="Q27" s="9" t="s">
        <v>436</v>
      </c>
      <c r="AG27" s="2" t="s">
        <v>440</v>
      </c>
    </row>
    <row r="28" spans="2:34">
      <c r="B28" s="11" t="s">
        <v>389</v>
      </c>
      <c r="C28" s="249">
        <v>0</v>
      </c>
      <c r="D28" s="249">
        <v>0</v>
      </c>
      <c r="E28" s="249">
        <v>0</v>
      </c>
      <c r="F28" s="249">
        <v>0</v>
      </c>
      <c r="G28" s="249">
        <v>0</v>
      </c>
      <c r="H28" s="11"/>
      <c r="J28" s="6" t="str">
        <f t="shared" si="0"/>
        <v>Industri, 12</v>
      </c>
      <c r="K28" s="9">
        <v>12</v>
      </c>
      <c r="L28" s="213">
        <v>345.75725687869271</v>
      </c>
      <c r="M28" s="213">
        <v>27.176900294889514</v>
      </c>
      <c r="N28" s="213">
        <v>16.746671903137866</v>
      </c>
      <c r="O28" s="213">
        <v>118.58959043625214</v>
      </c>
      <c r="P28" s="213">
        <v>6.708034263054512</v>
      </c>
      <c r="Q28" s="9" t="s">
        <v>436</v>
      </c>
    </row>
    <row r="29" spans="2:34" hidden="1">
      <c r="B29" s="9" t="s">
        <v>441</v>
      </c>
      <c r="C29" s="213">
        <v>0</v>
      </c>
      <c r="D29" s="213">
        <v>0</v>
      </c>
      <c r="E29" s="213">
        <v>0</v>
      </c>
      <c r="F29" s="213">
        <v>0</v>
      </c>
      <c r="G29" s="213">
        <v>0</v>
      </c>
      <c r="H29" s="9" t="s">
        <v>436</v>
      </c>
      <c r="J29" s="6" t="str">
        <f t="shared" si="0"/>
        <v>Industri, 13</v>
      </c>
      <c r="K29" s="9">
        <v>13</v>
      </c>
      <c r="L29" s="213">
        <v>360.9413921997201</v>
      </c>
      <c r="M29" s="213">
        <v>28.373255271195241</v>
      </c>
      <c r="N29" s="213">
        <v>17.431249506638395</v>
      </c>
      <c r="O29" s="213">
        <v>124.78526774516931</v>
      </c>
      <c r="P29" s="213">
        <v>6.8763694431946059</v>
      </c>
      <c r="Q29" s="9" t="s">
        <v>436</v>
      </c>
    </row>
    <row r="30" spans="2:34">
      <c r="B30" s="9" t="s">
        <v>442</v>
      </c>
      <c r="C30" s="213">
        <v>251.87433729041996</v>
      </c>
      <c r="D30" s="213">
        <v>19.206289839519052</v>
      </c>
      <c r="E30" s="213">
        <v>12.370940121057368</v>
      </c>
      <c r="F30" s="213">
        <v>69.024171964914515</v>
      </c>
      <c r="G30" s="213">
        <v>5.4326422660909071</v>
      </c>
      <c r="H30" s="9" t="s">
        <v>436</v>
      </c>
      <c r="J30" s="6" t="str">
        <f t="shared" si="0"/>
        <v>Industri, 14</v>
      </c>
      <c r="K30" s="9">
        <v>14</v>
      </c>
      <c r="L30" s="213">
        <v>376.7758675604781</v>
      </c>
      <c r="M30" s="213">
        <v>29.607329967500966</v>
      </c>
      <c r="N30" s="213">
        <v>18.141776656953343</v>
      </c>
      <c r="O30" s="213">
        <v>130.98094505408653</v>
      </c>
      <c r="P30" s="213">
        <v>7.0463850186255579</v>
      </c>
      <c r="Q30" s="9" t="s">
        <v>436</v>
      </c>
    </row>
    <row r="31" spans="2:34">
      <c r="B31" s="9" t="s">
        <v>443</v>
      </c>
      <c r="C31" s="213">
        <v>261.27438258168564</v>
      </c>
      <c r="D31" s="213">
        <v>20.067167614593636</v>
      </c>
      <c r="E31" s="213">
        <v>12.824723823157976</v>
      </c>
      <c r="F31" s="213">
        <v>75.219849273831727</v>
      </c>
      <c r="G31" s="213">
        <v>5.5860320990985359</v>
      </c>
      <c r="H31" s="9" t="s">
        <v>436</v>
      </c>
      <c r="J31" s="6" t="str">
        <f t="shared" ref="J31:J36" si="1">"Industri, "&amp;K31</f>
        <v>Industri, 15</v>
      </c>
      <c r="K31" s="9">
        <v>15</v>
      </c>
      <c r="L31" s="213">
        <v>393.26068296096685</v>
      </c>
      <c r="M31" s="213">
        <v>30.879124383806705</v>
      </c>
      <c r="N31" s="213">
        <v>18.878253354082684</v>
      </c>
      <c r="O31" s="213">
        <v>137.17662236300367</v>
      </c>
      <c r="P31" s="213">
        <v>7.2180809893473636</v>
      </c>
      <c r="Q31" s="9" t="s">
        <v>436</v>
      </c>
    </row>
    <row r="32" spans="2:34">
      <c r="B32" s="9" t="s">
        <v>444</v>
      </c>
      <c r="C32" s="213">
        <v>270.67442787295136</v>
      </c>
      <c r="D32" s="213">
        <v>20.92804538966822</v>
      </c>
      <c r="E32" s="213">
        <v>13.278507525258577</v>
      </c>
      <c r="F32" s="213">
        <v>81.415526582748925</v>
      </c>
      <c r="G32" s="213">
        <v>5.7394219321061657</v>
      </c>
      <c r="H32" s="9" t="s">
        <v>436</v>
      </c>
      <c r="J32" s="6" t="str">
        <f t="shared" si="1"/>
        <v>Industri, 16</v>
      </c>
      <c r="K32" s="9">
        <v>16</v>
      </c>
      <c r="L32" s="213">
        <v>410.39583840118632</v>
      </c>
      <c r="M32" s="213">
        <v>32.188638520112434</v>
      </c>
      <c r="N32" s="213">
        <v>19.640679598026441</v>
      </c>
      <c r="O32" s="213">
        <v>143.37229967192093</v>
      </c>
      <c r="P32" s="213">
        <v>7.3914573553600347</v>
      </c>
      <c r="Q32" s="9" t="s">
        <v>436</v>
      </c>
      <c r="AG32" s="2" t="s">
        <v>445</v>
      </c>
      <c r="AH32" s="2" t="s">
        <v>446</v>
      </c>
    </row>
    <row r="33" spans="2:33">
      <c r="B33" s="9" t="s">
        <v>447</v>
      </c>
      <c r="C33" s="213">
        <v>280.07447316421701</v>
      </c>
      <c r="D33" s="213">
        <v>21.788923164742801</v>
      </c>
      <c r="E33" s="213">
        <v>13.732291227359186</v>
      </c>
      <c r="F33" s="213">
        <v>87.611203891666122</v>
      </c>
      <c r="G33" s="213">
        <v>5.8928117651137963</v>
      </c>
      <c r="H33" s="9" t="s">
        <v>436</v>
      </c>
      <c r="J33" s="6" t="str">
        <f t="shared" si="1"/>
        <v>Industri, 17</v>
      </c>
      <c r="K33" s="9">
        <v>17</v>
      </c>
      <c r="L33" s="213">
        <v>428.18133388113642</v>
      </c>
      <c r="M33" s="213">
        <v>33.535872376418169</v>
      </c>
      <c r="N33" s="213">
        <v>20.429055388784597</v>
      </c>
      <c r="O33" s="213">
        <v>149.5679769808381</v>
      </c>
      <c r="P33" s="213">
        <v>7.5665141166635603</v>
      </c>
      <c r="Q33" s="9" t="s">
        <v>436</v>
      </c>
      <c r="AG33" s="2" t="s">
        <v>448</v>
      </c>
    </row>
    <row r="34" spans="2:33">
      <c r="B34" s="9" t="s">
        <v>449</v>
      </c>
      <c r="C34" s="213">
        <v>291.52411599189003</v>
      </c>
      <c r="D34" s="213">
        <v>22.768677589666581</v>
      </c>
      <c r="E34" s="213">
        <v>14.267856957279754</v>
      </c>
      <c r="F34" s="213">
        <v>93.806881200583319</v>
      </c>
      <c r="G34" s="213">
        <v>6.0514974954027316</v>
      </c>
      <c r="H34" s="9" t="s">
        <v>436</v>
      </c>
      <c r="J34" s="6" t="str">
        <f t="shared" si="1"/>
        <v>Industri, 18</v>
      </c>
      <c r="K34" s="9">
        <v>18</v>
      </c>
      <c r="L34" s="213">
        <v>446.61716940081715</v>
      </c>
      <c r="M34" s="213">
        <v>34.920825952723902</v>
      </c>
      <c r="N34" s="213">
        <v>21.243380726357152</v>
      </c>
      <c r="O34" s="213">
        <v>155.76365428975529</v>
      </c>
      <c r="P34" s="213">
        <v>7.7432512732579468</v>
      </c>
      <c r="Q34" s="9" t="s">
        <v>436</v>
      </c>
    </row>
    <row r="35" spans="2:33">
      <c r="B35" s="9" t="s">
        <v>450</v>
      </c>
      <c r="C35" s="213">
        <v>304.10689115399464</v>
      </c>
      <c r="D35" s="213">
        <v>23.814153685972311</v>
      </c>
      <c r="E35" s="213">
        <v>14.848636373522673</v>
      </c>
      <c r="F35" s="213">
        <v>100.00255850950052</v>
      </c>
      <c r="G35" s="213">
        <v>6.2131110943793884</v>
      </c>
      <c r="H35" s="9" t="s">
        <v>436</v>
      </c>
      <c r="J35" s="6" t="str">
        <f t="shared" si="1"/>
        <v>Industri, 19</v>
      </c>
      <c r="K35" s="9">
        <v>19</v>
      </c>
      <c r="L35" s="213">
        <v>465.70334496022861</v>
      </c>
      <c r="M35" s="213">
        <v>36.343499249029634</v>
      </c>
      <c r="N35" s="213">
        <v>22.083655610744124</v>
      </c>
      <c r="O35" s="213">
        <v>161.95933159867252</v>
      </c>
      <c r="P35" s="213">
        <v>7.9216688251431915</v>
      </c>
      <c r="Q35" s="9" t="s">
        <v>436</v>
      </c>
    </row>
    <row r="36" spans="2:33">
      <c r="B36" s="9" t="s">
        <v>451</v>
      </c>
      <c r="C36" s="213">
        <v>317.34000635583004</v>
      </c>
      <c r="D36" s="213">
        <v>24.897349502278043</v>
      </c>
      <c r="E36" s="213">
        <v>15.455365336579998</v>
      </c>
      <c r="F36" s="213">
        <v>106.19823581841774</v>
      </c>
      <c r="G36" s="213">
        <v>6.376405088646905</v>
      </c>
      <c r="H36" s="9" t="s">
        <v>436</v>
      </c>
      <c r="J36" s="6" t="str">
        <f t="shared" si="1"/>
        <v>Industri, 20</v>
      </c>
      <c r="K36" s="9">
        <v>20</v>
      </c>
      <c r="L36" s="213">
        <v>485.4398605593708</v>
      </c>
      <c r="M36" s="213">
        <v>37.803892265335371</v>
      </c>
      <c r="N36" s="213">
        <v>22.949880041945491</v>
      </c>
      <c r="O36" s="213">
        <v>168.15500890758966</v>
      </c>
      <c r="P36" s="213">
        <v>8.1017667723192943</v>
      </c>
      <c r="Q36" s="9" t="s">
        <v>436</v>
      </c>
    </row>
    <row r="37" spans="2:33">
      <c r="B37" s="9" t="s">
        <v>452</v>
      </c>
      <c r="C37" s="213">
        <v>331.22346159739607</v>
      </c>
      <c r="D37" s="213">
        <v>26.018265038583777</v>
      </c>
      <c r="E37" s="213">
        <v>16.088043846451725</v>
      </c>
      <c r="F37" s="213">
        <v>112.39391312733493</v>
      </c>
      <c r="G37" s="213">
        <v>6.5413794782052808</v>
      </c>
      <c r="H37" s="9" t="s">
        <v>436</v>
      </c>
      <c r="J37" s="6"/>
      <c r="K37" s="6"/>
      <c r="L37" s="6"/>
      <c r="M37" s="6"/>
      <c r="N37" s="6"/>
      <c r="O37" s="6"/>
      <c r="P37" s="6"/>
      <c r="Q37" s="6"/>
    </row>
    <row r="38" spans="2:33">
      <c r="B38" s="9" t="s">
        <v>453</v>
      </c>
      <c r="C38" s="213">
        <v>345.75725687869271</v>
      </c>
      <c r="D38" s="213">
        <v>27.176900294889514</v>
      </c>
      <c r="E38" s="213">
        <v>16.746671903137866</v>
      </c>
      <c r="F38" s="213">
        <v>118.58959043625214</v>
      </c>
      <c r="G38" s="213">
        <v>6.708034263054512</v>
      </c>
      <c r="H38" s="9" t="s">
        <v>436</v>
      </c>
      <c r="J38" s="6"/>
      <c r="K38" s="6"/>
      <c r="L38" s="6"/>
      <c r="M38" s="6"/>
      <c r="N38" s="6"/>
      <c r="O38" s="6"/>
      <c r="P38" s="6"/>
      <c r="Q38" s="6"/>
    </row>
    <row r="39" spans="2:33">
      <c r="B39" s="9" t="s">
        <v>454</v>
      </c>
      <c r="C39" s="213">
        <v>360.9413921997201</v>
      </c>
      <c r="D39" s="213">
        <v>28.373255271195241</v>
      </c>
      <c r="E39" s="213">
        <v>17.431249506638395</v>
      </c>
      <c r="F39" s="213">
        <v>124.78526774516931</v>
      </c>
      <c r="G39" s="213">
        <v>6.8763694431946059</v>
      </c>
      <c r="H39" s="9" t="s">
        <v>436</v>
      </c>
      <c r="J39" s="6"/>
      <c r="K39" s="6"/>
      <c r="L39" s="6"/>
      <c r="M39" s="6"/>
      <c r="N39" s="6"/>
      <c r="O39" s="6"/>
      <c r="P39" s="6"/>
      <c r="Q39" s="6"/>
    </row>
    <row r="40" spans="2:33">
      <c r="B40" s="9" t="s">
        <v>455</v>
      </c>
      <c r="C40" s="213">
        <v>376.7758675604781</v>
      </c>
      <c r="D40" s="213">
        <v>29.607329967500966</v>
      </c>
      <c r="E40" s="213">
        <v>18.141776656953343</v>
      </c>
      <c r="F40" s="213">
        <v>130.98094505408653</v>
      </c>
      <c r="G40" s="213">
        <v>7.0463850186255579</v>
      </c>
      <c r="H40" s="9" t="s">
        <v>436</v>
      </c>
      <c r="J40" s="6"/>
      <c r="K40" s="6"/>
      <c r="L40" s="6"/>
      <c r="M40" s="6"/>
      <c r="N40" s="6"/>
      <c r="O40" s="6"/>
      <c r="P40" s="6"/>
      <c r="Q40" s="6"/>
    </row>
    <row r="41" spans="2:33">
      <c r="B41" s="9" t="s">
        <v>456</v>
      </c>
      <c r="C41" s="213">
        <v>393.26068296096685</v>
      </c>
      <c r="D41" s="213">
        <v>30.879124383806705</v>
      </c>
      <c r="E41" s="213">
        <v>18.878253354082684</v>
      </c>
      <c r="F41" s="213">
        <v>137.17662236300367</v>
      </c>
      <c r="G41" s="213">
        <v>7.2180809893473636</v>
      </c>
      <c r="H41" s="9" t="s">
        <v>436</v>
      </c>
      <c r="J41" s="6"/>
      <c r="K41" s="6"/>
      <c r="L41" s="6"/>
      <c r="M41" s="6"/>
      <c r="N41" s="6"/>
      <c r="O41" s="6"/>
      <c r="P41" s="6"/>
      <c r="Q41" s="6"/>
    </row>
    <row r="42" spans="2:33">
      <c r="B42" s="9" t="s">
        <v>457</v>
      </c>
      <c r="C42" s="213">
        <v>410.39583840118632</v>
      </c>
      <c r="D42" s="213">
        <v>32.188638520112434</v>
      </c>
      <c r="E42" s="213">
        <v>19.640679598026441</v>
      </c>
      <c r="F42" s="213">
        <v>143.37229967192093</v>
      </c>
      <c r="G42" s="213">
        <v>7.3914573553600347</v>
      </c>
      <c r="H42" s="9" t="s">
        <v>436</v>
      </c>
      <c r="J42" s="6"/>
      <c r="K42" s="6"/>
      <c r="L42" s="6"/>
      <c r="M42" s="6"/>
      <c r="N42" s="6"/>
      <c r="O42" s="6"/>
      <c r="P42" s="6"/>
      <c r="Q42" s="6"/>
    </row>
    <row r="43" spans="2:33">
      <c r="B43" s="9" t="s">
        <v>458</v>
      </c>
      <c r="C43" s="213">
        <v>428.18133388113642</v>
      </c>
      <c r="D43" s="213">
        <v>33.535872376418169</v>
      </c>
      <c r="E43" s="213">
        <v>20.429055388784597</v>
      </c>
      <c r="F43" s="213">
        <v>149.5679769808381</v>
      </c>
      <c r="G43" s="213">
        <v>7.5665141166635603</v>
      </c>
      <c r="H43" s="9" t="s">
        <v>436</v>
      </c>
      <c r="J43" s="6"/>
      <c r="K43" s="6"/>
      <c r="L43" s="6"/>
      <c r="M43" s="6"/>
      <c r="N43" s="6"/>
      <c r="O43" s="6"/>
      <c r="P43" s="6"/>
      <c r="Q43" s="6"/>
      <c r="AG43" s="2" t="s">
        <v>459</v>
      </c>
    </row>
    <row r="44" spans="2:33">
      <c r="B44" s="9" t="s">
        <v>460</v>
      </c>
      <c r="C44" s="213">
        <v>446.61716940081715</v>
      </c>
      <c r="D44" s="213">
        <v>34.920825952723902</v>
      </c>
      <c r="E44" s="213">
        <v>21.243380726357152</v>
      </c>
      <c r="F44" s="213">
        <v>155.76365428975529</v>
      </c>
      <c r="G44" s="213">
        <v>7.7432512732579468</v>
      </c>
      <c r="H44" s="9" t="s">
        <v>436</v>
      </c>
      <c r="J44" s="6"/>
      <c r="K44" s="6"/>
      <c r="L44" s="6"/>
      <c r="M44" s="6"/>
      <c r="N44" s="6"/>
      <c r="O44" s="6"/>
      <c r="P44" s="6"/>
      <c r="Q44" s="6"/>
    </row>
    <row r="45" spans="2:33">
      <c r="B45" s="9" t="s">
        <v>461</v>
      </c>
      <c r="C45" s="213">
        <v>465.70334496022861</v>
      </c>
      <c r="D45" s="213">
        <v>36.343499249029634</v>
      </c>
      <c r="E45" s="213">
        <v>22.083655610744124</v>
      </c>
      <c r="F45" s="213">
        <v>161.95933159867252</v>
      </c>
      <c r="G45" s="213">
        <v>7.9216688251431915</v>
      </c>
      <c r="H45" s="9" t="s">
        <v>436</v>
      </c>
      <c r="J45" s="6"/>
      <c r="K45" s="6"/>
      <c r="L45" s="6"/>
      <c r="M45" s="6"/>
      <c r="N45" s="6"/>
      <c r="O45" s="6"/>
      <c r="P45" s="6"/>
      <c r="Q45" s="6"/>
    </row>
    <row r="46" spans="2:33">
      <c r="B46" s="9" t="s">
        <v>462</v>
      </c>
      <c r="C46" s="213">
        <v>485.4398605593708</v>
      </c>
      <c r="D46" s="213">
        <v>37.803892265335371</v>
      </c>
      <c r="E46" s="213">
        <v>22.949880041945491</v>
      </c>
      <c r="F46" s="213">
        <v>168.15500890758966</v>
      </c>
      <c r="G46" s="213">
        <v>8.1017667723192943</v>
      </c>
      <c r="H46" s="9" t="s">
        <v>436</v>
      </c>
      <c r="J46" s="6"/>
      <c r="K46" s="6"/>
      <c r="L46" s="6"/>
      <c r="M46" s="6"/>
      <c r="N46" s="6"/>
      <c r="O46" s="6"/>
      <c r="P46" s="6"/>
      <c r="Q46" s="6"/>
    </row>
    <row r="47" spans="2:33">
      <c r="J47" s="6"/>
      <c r="K47" s="6"/>
      <c r="L47" s="6"/>
      <c r="M47" s="6"/>
      <c r="N47" s="6"/>
      <c r="O47" s="6"/>
      <c r="P47" s="6"/>
      <c r="Q47" s="6"/>
    </row>
    <row r="48" spans="2:33" hidden="1">
      <c r="J48" s="6"/>
      <c r="K48" s="6"/>
      <c r="L48" s="6"/>
      <c r="M48" s="6"/>
      <c r="N48" s="6"/>
      <c r="O48" s="6"/>
      <c r="P48" s="6"/>
      <c r="Q48" s="6"/>
    </row>
    <row r="49" spans="2:60" hidden="1">
      <c r="J49" s="6"/>
      <c r="K49" s="6"/>
      <c r="L49" s="6"/>
      <c r="M49" s="6"/>
      <c r="N49" s="6"/>
      <c r="O49" s="6"/>
      <c r="P49" s="6"/>
      <c r="Q49" s="6"/>
      <c r="AN49" s="214" t="s">
        <v>463</v>
      </c>
    </row>
    <row r="50" spans="2:60" hidden="1">
      <c r="J50" s="6"/>
      <c r="K50" s="6"/>
      <c r="L50" s="6"/>
      <c r="M50" s="6"/>
      <c r="N50" s="6"/>
      <c r="O50" s="6"/>
      <c r="P50" s="6"/>
      <c r="Q50" s="6"/>
      <c r="AN50" s="215" t="s">
        <v>464</v>
      </c>
    </row>
    <row r="51" spans="2:60" hidden="1">
      <c r="AN51" s="216" t="s">
        <v>465</v>
      </c>
    </row>
    <row r="52" spans="2:60" ht="14.1">
      <c r="B52" s="414" t="s">
        <v>466</v>
      </c>
      <c r="C52" s="414"/>
      <c r="D52" s="414"/>
      <c r="E52" s="414"/>
      <c r="F52" s="414"/>
      <c r="G52" s="414"/>
      <c r="AN52" s="217" t="s">
        <v>467</v>
      </c>
    </row>
    <row r="53" spans="2:60">
      <c r="B53" s="248" t="s">
        <v>468</v>
      </c>
      <c r="C53" s="248" t="s">
        <v>167</v>
      </c>
      <c r="D53" s="248" t="s">
        <v>168</v>
      </c>
      <c r="E53" s="248" t="s">
        <v>169</v>
      </c>
      <c r="F53" s="248" t="s">
        <v>170</v>
      </c>
      <c r="G53" s="248" t="s">
        <v>171</v>
      </c>
      <c r="H53" s="248" t="s">
        <v>164</v>
      </c>
      <c r="AN53" s="218">
        <v>5</v>
      </c>
    </row>
    <row r="54" spans="2:60">
      <c r="B54" s="9" t="s">
        <v>469</v>
      </c>
      <c r="C54" s="9">
        <v>4.32</v>
      </c>
      <c r="D54" s="226">
        <v>0.25055999999999995</v>
      </c>
      <c r="E54" s="9">
        <v>0</v>
      </c>
      <c r="F54" s="9">
        <v>0</v>
      </c>
      <c r="G54" s="9">
        <v>0</v>
      </c>
      <c r="H54" s="9" t="s">
        <v>470</v>
      </c>
      <c r="AN54" s="219">
        <v>6</v>
      </c>
    </row>
    <row r="55" spans="2:60">
      <c r="B55" s="9" t="s">
        <v>471</v>
      </c>
      <c r="C55" s="9">
        <v>9.4320000000000001E-2</v>
      </c>
      <c r="D55" s="281">
        <v>4.1029199999999995E-3</v>
      </c>
      <c r="E55" s="9">
        <v>0</v>
      </c>
      <c r="F55" s="9">
        <v>0</v>
      </c>
      <c r="G55" s="9">
        <v>0</v>
      </c>
      <c r="H55" s="9" t="s">
        <v>470</v>
      </c>
      <c r="AN55" s="220">
        <v>7</v>
      </c>
    </row>
    <row r="56" spans="2:60">
      <c r="B56" s="9" t="s">
        <v>472</v>
      </c>
      <c r="C56" s="9">
        <v>66.8</v>
      </c>
      <c r="D56" s="9">
        <v>2.871</v>
      </c>
      <c r="E56" s="9">
        <v>0</v>
      </c>
      <c r="F56" s="9">
        <v>0</v>
      </c>
      <c r="G56" s="9">
        <v>0</v>
      </c>
      <c r="H56" s="9" t="s">
        <v>473</v>
      </c>
    </row>
    <row r="59" spans="2:60" hidden="1">
      <c r="AX59" s="410" t="s">
        <v>434</v>
      </c>
      <c r="AY59" s="410"/>
      <c r="AZ59" s="410"/>
      <c r="BA59" s="410"/>
      <c r="BB59" s="410"/>
      <c r="BC59" s="212" t="s">
        <v>167</v>
      </c>
      <c r="BD59" s="212" t="s">
        <v>168</v>
      </c>
      <c r="BE59" s="212" t="s">
        <v>169</v>
      </c>
      <c r="BF59" s="212" t="s">
        <v>170</v>
      </c>
      <c r="BG59" s="212" t="s">
        <v>171</v>
      </c>
      <c r="BH59" s="212" t="s">
        <v>164</v>
      </c>
    </row>
    <row r="60" spans="2:60" hidden="1">
      <c r="AX60" s="9" t="s">
        <v>474</v>
      </c>
      <c r="AY60" s="9" t="s">
        <v>475</v>
      </c>
      <c r="AZ60" s="9" t="s">
        <v>476</v>
      </c>
      <c r="BA60" s="9" t="s">
        <v>477</v>
      </c>
      <c r="BB60" s="9" t="s">
        <v>478</v>
      </c>
    </row>
    <row r="61" spans="2:60" hidden="1">
      <c r="D61" s="221"/>
      <c r="AW61" s="9" t="s">
        <v>479</v>
      </c>
      <c r="AX61" s="222">
        <f>'Alternativ 1'!K19</f>
        <v>0</v>
      </c>
      <c r="AY61" s="223"/>
      <c r="AZ61" s="223"/>
      <c r="BA61" s="223"/>
      <c r="BB61" s="223"/>
      <c r="BC61" s="213"/>
      <c r="BD61" s="213"/>
      <c r="BE61" s="213"/>
      <c r="BF61" s="213"/>
      <c r="BG61" s="213"/>
      <c r="BH61" s="9" t="s">
        <v>436</v>
      </c>
    </row>
    <row r="62" spans="2:60" hidden="1">
      <c r="AW62" s="9" t="s">
        <v>480</v>
      </c>
      <c r="AX62" s="213">
        <f>'Alternativ 1'!K20</f>
        <v>0</v>
      </c>
      <c r="AY62" s="224"/>
      <c r="AZ62" s="224"/>
      <c r="BA62" s="224"/>
      <c r="BB62" s="224"/>
    </row>
    <row r="63" spans="2:60" hidden="1">
      <c r="AW63" s="9" t="s">
        <v>481</v>
      </c>
      <c r="AX63" s="213">
        <f>'Alternativ 1'!K21</f>
        <v>0</v>
      </c>
      <c r="AY63" s="224"/>
      <c r="AZ63" s="224"/>
      <c r="BA63" s="224"/>
      <c r="BB63" s="224"/>
    </row>
    <row r="64" spans="2:60" ht="24.9">
      <c r="B64" s="23" t="s">
        <v>482</v>
      </c>
      <c r="AW64" s="9" t="s">
        <v>483</v>
      </c>
      <c r="AX64" s="213">
        <f>'Alternativ 1'!K22</f>
        <v>0</v>
      </c>
      <c r="AY64" s="224"/>
      <c r="AZ64" s="224"/>
      <c r="BA64" s="224"/>
      <c r="BB64" s="224"/>
    </row>
    <row r="65" spans="1:36">
      <c r="AI65" s="2">
        <f>AI67-AI97</f>
        <v>8.1000000000000003E-2</v>
      </c>
      <c r="AJ65" s="2">
        <f>AI65/30</f>
        <v>2.7000000000000001E-3</v>
      </c>
    </row>
    <row r="66" spans="1:36" ht="17.25" hidden="1" customHeight="1">
      <c r="A66" s="415" t="s">
        <v>140</v>
      </c>
      <c r="B66" s="248"/>
      <c r="C66" s="248" t="s">
        <v>484</v>
      </c>
      <c r="D66" s="248" t="s">
        <v>485</v>
      </c>
      <c r="E66" s="248" t="s">
        <v>486</v>
      </c>
      <c r="F66" s="248"/>
      <c r="G66" s="248"/>
    </row>
    <row r="67" spans="1:36" hidden="1">
      <c r="A67" s="416"/>
      <c r="B67" s="9" t="s">
        <v>487</v>
      </c>
      <c r="C67" s="9">
        <v>121</v>
      </c>
      <c r="D67" s="225">
        <f>C67/C70</f>
        <v>7.4876237623762373E-2</v>
      </c>
      <c r="E67" s="9">
        <v>3</v>
      </c>
      <c r="F67" s="213">
        <f>C67/E67</f>
        <v>40.333333333333336</v>
      </c>
      <c r="G67" s="9" t="s">
        <v>488</v>
      </c>
      <c r="AH67" s="2">
        <v>2020</v>
      </c>
      <c r="AI67" s="2">
        <v>0.09</v>
      </c>
      <c r="AJ67" s="2" t="s">
        <v>489</v>
      </c>
    </row>
    <row r="68" spans="1:36" hidden="1">
      <c r="A68" s="416"/>
      <c r="B68" s="9" t="s">
        <v>490</v>
      </c>
      <c r="C68" s="9">
        <v>399</v>
      </c>
      <c r="D68" s="225">
        <f>C68/C70</f>
        <v>0.2469059405940594</v>
      </c>
      <c r="E68" s="9">
        <f>0.86*0+0.98</f>
        <v>0.98</v>
      </c>
      <c r="F68" s="213">
        <f>C68/E68</f>
        <v>407.14285714285717</v>
      </c>
      <c r="G68" s="9" t="s">
        <v>488</v>
      </c>
      <c r="AH68" s="2">
        <v>2021</v>
      </c>
      <c r="AI68" s="227">
        <f>AI67-AJ65</f>
        <v>8.7300000000000003E-2</v>
      </c>
      <c r="AJ68" s="2" t="s">
        <v>489</v>
      </c>
    </row>
    <row r="69" spans="1:36" hidden="1">
      <c r="A69" s="416"/>
      <c r="B69" s="9" t="s">
        <v>491</v>
      </c>
      <c r="C69" s="9">
        <v>1105</v>
      </c>
      <c r="D69" s="225">
        <f>C69/C70</f>
        <v>0.68378712871287128</v>
      </c>
      <c r="E69" s="247">
        <v>1</v>
      </c>
      <c r="F69" s="213">
        <f>C69/E69</f>
        <v>1105</v>
      </c>
      <c r="G69" s="9" t="s">
        <v>488</v>
      </c>
      <c r="AH69" s="2">
        <v>2022</v>
      </c>
      <c r="AI69" s="227">
        <f t="shared" ref="AI69:AI96" si="2">AI68-$AJ$65</f>
        <v>8.4600000000000009E-2</v>
      </c>
      <c r="AJ69" s="2" t="s">
        <v>489</v>
      </c>
    </row>
    <row r="70" spans="1:36" hidden="1">
      <c r="A70" s="416"/>
      <c r="B70" s="9" t="s">
        <v>492</v>
      </c>
      <c r="C70" s="9">
        <v>1616</v>
      </c>
      <c r="D70" s="9"/>
      <c r="E70" s="9"/>
      <c r="F70" s="9"/>
      <c r="G70" s="9"/>
      <c r="AH70" s="2">
        <v>2023</v>
      </c>
      <c r="AI70" s="227">
        <f t="shared" si="2"/>
        <v>8.1900000000000014E-2</v>
      </c>
      <c r="AJ70" s="2" t="s">
        <v>489</v>
      </c>
    </row>
    <row r="71" spans="1:36" hidden="1">
      <c r="A71" s="416"/>
      <c r="B71" s="9" t="s">
        <v>493</v>
      </c>
      <c r="C71" s="9"/>
      <c r="D71" s="9"/>
      <c r="E71" s="9"/>
      <c r="F71" s="213">
        <f>F67+F68</f>
        <v>447.47619047619048</v>
      </c>
      <c r="G71" s="9" t="s">
        <v>366</v>
      </c>
      <c r="AH71" s="2">
        <v>2024</v>
      </c>
      <c r="AI71" s="227">
        <f t="shared" si="2"/>
        <v>7.920000000000002E-2</v>
      </c>
      <c r="AJ71" s="2" t="s">
        <v>489</v>
      </c>
    </row>
    <row r="72" spans="1:36" hidden="1">
      <c r="A72" s="416"/>
      <c r="B72" s="9" t="s">
        <v>494</v>
      </c>
      <c r="C72" s="9"/>
      <c r="D72" s="9"/>
      <c r="E72" s="9"/>
      <c r="F72" s="226">
        <f>(F71)/C70</f>
        <v>0.27690358321546443</v>
      </c>
      <c r="G72" s="9" t="s">
        <v>495</v>
      </c>
      <c r="AH72" s="2">
        <v>2025</v>
      </c>
      <c r="AI72" s="227">
        <f t="shared" si="2"/>
        <v>7.6500000000000026E-2</v>
      </c>
      <c r="AJ72" s="2" t="s">
        <v>489</v>
      </c>
    </row>
    <row r="73" spans="1:36" hidden="1">
      <c r="A73" s="417"/>
      <c r="B73" s="9" t="s">
        <v>496</v>
      </c>
      <c r="C73" s="9"/>
      <c r="D73" s="9"/>
      <c r="E73" s="9"/>
      <c r="F73" s="247">
        <f>F69/C70</f>
        <v>0.68378712871287128</v>
      </c>
      <c r="G73" s="9" t="s">
        <v>497</v>
      </c>
      <c r="AH73" s="2">
        <v>2026</v>
      </c>
      <c r="AI73" s="227">
        <f t="shared" si="2"/>
        <v>7.3800000000000032E-2</v>
      </c>
      <c r="AJ73" s="2" t="s">
        <v>489</v>
      </c>
    </row>
    <row r="74" spans="1:36" hidden="1">
      <c r="X74" s="209"/>
      <c r="Y74" s="209"/>
      <c r="Z74" s="209" t="s">
        <v>498</v>
      </c>
      <c r="AA74" s="209"/>
      <c r="AB74" s="209"/>
      <c r="AC74" s="209"/>
      <c r="AD74" s="209"/>
      <c r="AE74" s="209"/>
      <c r="AF74" s="209"/>
      <c r="AH74" s="2">
        <v>2027</v>
      </c>
      <c r="AI74" s="227">
        <f t="shared" si="2"/>
        <v>7.1100000000000038E-2</v>
      </c>
      <c r="AJ74" s="2" t="s">
        <v>489</v>
      </c>
    </row>
    <row r="75" spans="1:36">
      <c r="X75" s="209"/>
      <c r="Y75" s="209"/>
      <c r="Z75" s="209"/>
      <c r="AA75" s="209"/>
      <c r="AB75" s="209"/>
      <c r="AC75" s="209"/>
      <c r="AD75" s="209"/>
      <c r="AE75" s="209"/>
      <c r="AF75" s="209"/>
      <c r="AH75" s="2">
        <v>2028</v>
      </c>
      <c r="AI75" s="227">
        <f t="shared" si="2"/>
        <v>6.8400000000000044E-2</v>
      </c>
      <c r="AJ75" s="2" t="s">
        <v>489</v>
      </c>
    </row>
    <row r="76" spans="1:36">
      <c r="B76" s="9" t="s">
        <v>499</v>
      </c>
      <c r="C76" s="226">
        <v>0.10462896495714274</v>
      </c>
      <c r="D76" s="9" t="s">
        <v>489</v>
      </c>
      <c r="E76" s="9" t="s">
        <v>500</v>
      </c>
      <c r="X76" s="209"/>
      <c r="Y76" s="209"/>
      <c r="Z76" s="209"/>
      <c r="AA76" s="209"/>
      <c r="AB76" s="209"/>
      <c r="AC76" s="209"/>
      <c r="AD76" s="209"/>
      <c r="AE76" s="209"/>
      <c r="AF76" s="209"/>
      <c r="AH76" s="2">
        <v>2029</v>
      </c>
      <c r="AI76" s="227">
        <f t="shared" si="2"/>
        <v>6.570000000000005E-2</v>
      </c>
      <c r="AJ76" s="2" t="s">
        <v>489</v>
      </c>
    </row>
    <row r="77" spans="1:36">
      <c r="B77" s="9" t="s">
        <v>501</v>
      </c>
      <c r="C77" s="226">
        <v>1.7747665114285747E-2</v>
      </c>
      <c r="D77" s="9" t="s">
        <v>489</v>
      </c>
      <c r="E77" s="9" t="s">
        <v>502</v>
      </c>
      <c r="X77" s="209"/>
      <c r="Y77" s="209"/>
      <c r="Z77" s="209"/>
      <c r="AA77" s="209"/>
      <c r="AB77" s="209"/>
      <c r="AC77" s="209"/>
      <c r="AD77" s="209"/>
      <c r="AE77" s="209"/>
      <c r="AF77" s="209"/>
      <c r="AH77" s="2">
        <v>2030</v>
      </c>
      <c r="AI77" s="227">
        <f t="shared" si="2"/>
        <v>6.3000000000000056E-2</v>
      </c>
      <c r="AJ77" s="2" t="s">
        <v>489</v>
      </c>
    </row>
    <row r="78" spans="1:36">
      <c r="B78" s="9" t="s">
        <v>503</v>
      </c>
      <c r="C78" s="226">
        <v>2.4147521285714301E-2</v>
      </c>
      <c r="D78" s="9" t="s">
        <v>489</v>
      </c>
      <c r="E78" s="9"/>
      <c r="X78" s="209"/>
      <c r="Y78" s="209"/>
      <c r="Z78" s="209"/>
      <c r="AA78" s="209"/>
      <c r="AB78" s="209"/>
      <c r="AC78" s="209"/>
      <c r="AD78" s="209"/>
      <c r="AE78" s="209"/>
      <c r="AF78" s="209"/>
      <c r="AH78" s="2">
        <v>2031</v>
      </c>
      <c r="AI78" s="227">
        <f t="shared" si="2"/>
        <v>6.0300000000000055E-2</v>
      </c>
      <c r="AJ78" s="2" t="s">
        <v>489</v>
      </c>
    </row>
    <row r="79" spans="1:36">
      <c r="X79" s="209"/>
      <c r="Y79" s="209"/>
      <c r="Z79" s="209"/>
      <c r="AA79" s="209"/>
      <c r="AB79" s="209"/>
      <c r="AC79" s="209"/>
      <c r="AD79" s="209"/>
      <c r="AE79" s="209"/>
      <c r="AF79" s="209"/>
      <c r="AH79" s="2">
        <v>2032</v>
      </c>
      <c r="AI79" s="227">
        <f t="shared" si="2"/>
        <v>5.7600000000000054E-2</v>
      </c>
      <c r="AJ79" s="2" t="s">
        <v>489</v>
      </c>
    </row>
    <row r="80" spans="1:36">
      <c r="B80" s="9" t="s">
        <v>504</v>
      </c>
      <c r="C80" s="226">
        <f>C98+C100</f>
        <v>3.8751119274583641E-2</v>
      </c>
      <c r="D80" s="9" t="s">
        <v>505</v>
      </c>
      <c r="X80" s="209"/>
      <c r="Y80" s="209"/>
      <c r="Z80" s="209"/>
      <c r="AA80" s="209"/>
      <c r="AB80" s="209"/>
      <c r="AC80" s="209"/>
      <c r="AD80" s="209"/>
      <c r="AE80" s="209"/>
      <c r="AF80" s="209"/>
      <c r="AH80" s="2">
        <v>2033</v>
      </c>
      <c r="AI80" s="227">
        <f t="shared" si="2"/>
        <v>5.4900000000000053E-2</v>
      </c>
      <c r="AJ80" s="2" t="s">
        <v>489</v>
      </c>
    </row>
    <row r="81" spans="1:36">
      <c r="B81" s="9" t="s">
        <v>506</v>
      </c>
      <c r="C81" s="226">
        <f>C80+F73*C90</f>
        <v>8.9146230660722248E-2</v>
      </c>
      <c r="D81" s="9" t="s">
        <v>505</v>
      </c>
      <c r="X81" s="209"/>
      <c r="Y81" s="209"/>
      <c r="Z81" s="209"/>
      <c r="AA81" s="209"/>
      <c r="AB81" s="209"/>
      <c r="AC81" s="209"/>
      <c r="AD81" s="209"/>
      <c r="AE81" s="209"/>
      <c r="AF81" s="209"/>
      <c r="AH81" s="2">
        <v>2034</v>
      </c>
      <c r="AI81" s="227">
        <f t="shared" si="2"/>
        <v>5.2200000000000052E-2</v>
      </c>
      <c r="AJ81" s="2" t="s">
        <v>489</v>
      </c>
    </row>
    <row r="82" spans="1:36">
      <c r="X82" s="209"/>
      <c r="Y82" s="209"/>
      <c r="Z82" s="209"/>
      <c r="AA82" s="209"/>
      <c r="AB82" s="209"/>
      <c r="AC82" s="209"/>
      <c r="AD82" s="209"/>
      <c r="AE82" s="209"/>
      <c r="AF82" s="209"/>
      <c r="AH82" s="2">
        <v>2035</v>
      </c>
      <c r="AI82" s="227">
        <f t="shared" si="2"/>
        <v>4.9500000000000051E-2</v>
      </c>
      <c r="AJ82" s="2" t="s">
        <v>489</v>
      </c>
    </row>
    <row r="83" spans="1:36">
      <c r="B83" s="9" t="s">
        <v>507</v>
      </c>
      <c r="C83" s="226">
        <f>C98+C101</f>
        <v>1.4693376033679371E-2</v>
      </c>
      <c r="D83" s="9" t="s">
        <v>505</v>
      </c>
      <c r="X83" s="209"/>
      <c r="Y83" s="209"/>
      <c r="Z83" s="209"/>
      <c r="AA83" s="209"/>
      <c r="AB83" s="209"/>
      <c r="AC83" s="209"/>
      <c r="AD83" s="209"/>
      <c r="AE83" s="209"/>
      <c r="AF83" s="209"/>
      <c r="AH83" s="2">
        <v>2036</v>
      </c>
      <c r="AI83" s="227">
        <f t="shared" si="2"/>
        <v>4.680000000000005E-2</v>
      </c>
      <c r="AJ83" s="2" t="s">
        <v>489</v>
      </c>
    </row>
    <row r="84" spans="1:36">
      <c r="B84" s="9" t="s">
        <v>508</v>
      </c>
      <c r="C84" s="226">
        <f>C83+F73*C90</f>
        <v>6.5088487419817986E-2</v>
      </c>
      <c r="D84" s="9" t="s">
        <v>505</v>
      </c>
      <c r="X84" s="209" t="s">
        <v>509</v>
      </c>
      <c r="Y84" s="209"/>
      <c r="Z84" s="209"/>
      <c r="AA84" s="209"/>
      <c r="AB84" s="209"/>
      <c r="AC84" s="209"/>
      <c r="AD84" s="209"/>
      <c r="AE84" s="209"/>
      <c r="AF84" s="209"/>
      <c r="AH84" s="2">
        <v>2037</v>
      </c>
      <c r="AI84" s="227">
        <f t="shared" si="2"/>
        <v>4.4100000000000049E-2</v>
      </c>
      <c r="AJ84" s="2" t="s">
        <v>489</v>
      </c>
    </row>
    <row r="85" spans="1:36">
      <c r="X85" s="209" t="s">
        <v>510</v>
      </c>
      <c r="Y85" s="209">
        <v>0.22</v>
      </c>
      <c r="Z85" s="209"/>
      <c r="AA85" s="251">
        <v>0.19500000000000001</v>
      </c>
      <c r="AB85" s="209"/>
      <c r="AC85" s="209"/>
      <c r="AD85" s="209"/>
      <c r="AE85" s="209"/>
      <c r="AF85" s="209"/>
      <c r="AH85" s="2">
        <v>2038</v>
      </c>
      <c r="AI85" s="227">
        <f t="shared" si="2"/>
        <v>4.1400000000000048E-2</v>
      </c>
      <c r="AJ85" s="2" t="s">
        <v>489</v>
      </c>
    </row>
    <row r="86" spans="1:36" hidden="1">
      <c r="X86" s="209" t="s">
        <v>511</v>
      </c>
      <c r="Y86" s="251">
        <v>0.03</v>
      </c>
      <c r="Z86" s="209"/>
      <c r="AA86" s="209"/>
      <c r="AB86" s="251">
        <v>0.109</v>
      </c>
      <c r="AC86" s="251">
        <v>0.28499999999999998</v>
      </c>
      <c r="AD86" s="251">
        <f>AB86*AC86</f>
        <v>3.1064999999999999E-2</v>
      </c>
      <c r="AE86" s="209"/>
      <c r="AF86" s="209"/>
      <c r="AH86" s="2">
        <v>2039</v>
      </c>
      <c r="AI86" s="227">
        <f t="shared" si="2"/>
        <v>3.8700000000000047E-2</v>
      </c>
      <c r="AJ86" s="2" t="s">
        <v>489</v>
      </c>
    </row>
    <row r="87" spans="1:36" hidden="1">
      <c r="X87" s="209"/>
      <c r="Y87" s="209"/>
      <c r="Z87" s="209"/>
      <c r="AA87" s="209"/>
      <c r="AB87" s="209"/>
      <c r="AC87" s="209"/>
      <c r="AD87" s="209"/>
      <c r="AE87" s="209"/>
      <c r="AF87" s="209"/>
      <c r="AH87" s="2">
        <v>2040</v>
      </c>
      <c r="AI87" s="227">
        <f t="shared" si="2"/>
        <v>3.6000000000000046E-2</v>
      </c>
      <c r="AJ87" s="2" t="s">
        <v>489</v>
      </c>
    </row>
    <row r="88" spans="1:36">
      <c r="X88" s="209"/>
      <c r="Y88" s="209"/>
      <c r="Z88" s="209"/>
      <c r="AA88" s="209"/>
      <c r="AB88" s="209"/>
      <c r="AC88" s="209"/>
      <c r="AD88" s="252">
        <f>D67/AD86</f>
        <v>2.4103086310562492</v>
      </c>
      <c r="AE88" s="209"/>
      <c r="AF88" s="209"/>
      <c r="AH88" s="2">
        <v>2041</v>
      </c>
      <c r="AI88" s="227">
        <f t="shared" si="2"/>
        <v>3.3300000000000045E-2</v>
      </c>
      <c r="AJ88" s="2" t="s">
        <v>489</v>
      </c>
    </row>
    <row r="89" spans="1:36" ht="56.25" customHeight="1">
      <c r="B89" s="276" t="s">
        <v>512</v>
      </c>
      <c r="C89" s="418" t="s">
        <v>513</v>
      </c>
      <c r="D89" s="419"/>
      <c r="E89" s="276" t="s">
        <v>514</v>
      </c>
      <c r="X89" s="209"/>
      <c r="Y89" s="209"/>
      <c r="Z89" s="209"/>
      <c r="AA89" s="209"/>
      <c r="AB89" s="209"/>
      <c r="AC89" s="209"/>
      <c r="AD89" s="209"/>
      <c r="AE89" s="209"/>
      <c r="AF89" s="209"/>
      <c r="AH89" s="2">
        <v>2042</v>
      </c>
      <c r="AI89" s="227">
        <f t="shared" si="2"/>
        <v>3.0600000000000044E-2</v>
      </c>
      <c r="AJ89" s="2" t="s">
        <v>489</v>
      </c>
    </row>
    <row r="90" spans="1:36">
      <c r="B90" s="9">
        <v>2025</v>
      </c>
      <c r="C90" s="9">
        <v>7.3700000000000002E-2</v>
      </c>
      <c r="D90" s="9" t="s">
        <v>515</v>
      </c>
      <c r="E90" s="9" t="s">
        <v>516</v>
      </c>
      <c r="X90" s="209"/>
      <c r="Y90" s="209"/>
      <c r="Z90" s="209"/>
      <c r="AA90" s="209"/>
      <c r="AB90" s="209"/>
      <c r="AC90" s="209"/>
      <c r="AD90" s="209"/>
      <c r="AE90" s="209"/>
      <c r="AF90" s="209"/>
      <c r="AH90" s="2">
        <v>2043</v>
      </c>
      <c r="AI90" s="227">
        <f t="shared" si="2"/>
        <v>2.7900000000000043E-2</v>
      </c>
      <c r="AJ90" s="2" t="s">
        <v>489</v>
      </c>
    </row>
    <row r="91" spans="1:36">
      <c r="B91" s="9">
        <v>2026</v>
      </c>
      <c r="C91" s="9">
        <v>7.2999999999999995E-2</v>
      </c>
      <c r="D91" s="9" t="s">
        <v>515</v>
      </c>
      <c r="E91" s="9" t="s">
        <v>516</v>
      </c>
      <c r="X91" s="209"/>
      <c r="Y91" s="209"/>
      <c r="Z91" s="209"/>
      <c r="AA91" s="209"/>
      <c r="AB91" s="209"/>
      <c r="AC91" s="209"/>
      <c r="AD91" s="209"/>
      <c r="AE91" s="209"/>
      <c r="AF91" s="209"/>
      <c r="AH91" s="2">
        <v>2044</v>
      </c>
      <c r="AI91" s="227">
        <f t="shared" si="2"/>
        <v>2.5200000000000042E-2</v>
      </c>
      <c r="AJ91" s="2" t="s">
        <v>489</v>
      </c>
    </row>
    <row r="92" spans="1:36">
      <c r="B92" s="9">
        <v>2027</v>
      </c>
      <c r="C92" s="9">
        <v>7.22E-2</v>
      </c>
      <c r="D92" s="9" t="s">
        <v>515</v>
      </c>
      <c r="E92" s="9" t="s">
        <v>516</v>
      </c>
      <c r="X92" s="209"/>
      <c r="Y92" s="209"/>
      <c r="Z92" s="209"/>
      <c r="AA92" s="209"/>
      <c r="AB92" s="209"/>
      <c r="AC92" s="209"/>
      <c r="AD92" s="209"/>
      <c r="AE92" s="209"/>
      <c r="AF92" s="209"/>
      <c r="AH92" s="2">
        <v>2045</v>
      </c>
      <c r="AI92" s="227">
        <f t="shared" si="2"/>
        <v>2.2500000000000041E-2</v>
      </c>
      <c r="AJ92" s="2" t="s">
        <v>489</v>
      </c>
    </row>
    <row r="93" spans="1:36">
      <c r="X93" s="209"/>
      <c r="Y93" s="209"/>
      <c r="Z93" s="209"/>
      <c r="AA93" s="209"/>
      <c r="AB93" s="209"/>
      <c r="AC93" s="209"/>
      <c r="AD93" s="209"/>
      <c r="AE93" s="209"/>
      <c r="AF93" s="209"/>
      <c r="AH93" s="2">
        <v>2046</v>
      </c>
      <c r="AI93" s="227">
        <f t="shared" si="2"/>
        <v>1.980000000000004E-2</v>
      </c>
      <c r="AJ93" s="2" t="s">
        <v>489</v>
      </c>
    </row>
    <row r="94" spans="1:36" hidden="1">
      <c r="X94" s="209"/>
      <c r="Y94" s="209"/>
      <c r="Z94" s="209"/>
      <c r="AA94" s="209"/>
      <c r="AB94" s="209"/>
      <c r="AC94" s="209"/>
      <c r="AD94" s="209"/>
      <c r="AE94" s="209"/>
      <c r="AF94" s="209"/>
      <c r="AH94" s="2">
        <v>2047</v>
      </c>
      <c r="AI94" s="227">
        <f t="shared" si="2"/>
        <v>1.7100000000000039E-2</v>
      </c>
      <c r="AJ94" s="2" t="s">
        <v>489</v>
      </c>
    </row>
    <row r="95" spans="1:36" ht="122.25" hidden="1" customHeight="1">
      <c r="A95" s="415" t="s">
        <v>140</v>
      </c>
      <c r="B95" s="179" t="s">
        <v>517</v>
      </c>
      <c r="C95" s="226">
        <v>1.72E-2</v>
      </c>
      <c r="D95" s="9" t="s">
        <v>518</v>
      </c>
      <c r="X95" s="209"/>
      <c r="Y95" s="209"/>
      <c r="Z95" s="209"/>
      <c r="AA95" s="209"/>
      <c r="AB95" s="209"/>
      <c r="AC95" s="209"/>
      <c r="AD95" s="209"/>
      <c r="AE95" s="209"/>
      <c r="AF95" s="209"/>
      <c r="AH95" s="2">
        <v>2048</v>
      </c>
      <c r="AI95" s="227">
        <f t="shared" si="2"/>
        <v>1.4400000000000038E-2</v>
      </c>
      <c r="AJ95" s="2" t="s">
        <v>489</v>
      </c>
    </row>
    <row r="96" spans="1:36" hidden="1">
      <c r="A96" s="416"/>
      <c r="B96" s="179" t="s">
        <v>519</v>
      </c>
      <c r="C96" s="226">
        <f>26.8/1000</f>
        <v>2.6800000000000001E-2</v>
      </c>
      <c r="D96" s="9" t="s">
        <v>520</v>
      </c>
      <c r="X96" s="209"/>
      <c r="Y96" s="209"/>
      <c r="Z96" s="209"/>
      <c r="AA96" s="209"/>
      <c r="AB96" s="209"/>
      <c r="AC96" s="209"/>
      <c r="AD96" s="209"/>
      <c r="AE96" s="209"/>
      <c r="AF96" s="209"/>
      <c r="AH96" s="2">
        <v>2049</v>
      </c>
      <c r="AI96" s="227">
        <f t="shared" si="2"/>
        <v>1.1700000000000037E-2</v>
      </c>
      <c r="AJ96" s="2" t="s">
        <v>489</v>
      </c>
    </row>
    <row r="97" spans="1:36" hidden="1">
      <c r="A97" s="416"/>
      <c r="B97" s="179" t="s">
        <v>521</v>
      </c>
      <c r="C97" s="226">
        <f>C96*F72</f>
        <v>7.421016030174447E-3</v>
      </c>
      <c r="D97" s="9" t="s">
        <v>522</v>
      </c>
      <c r="X97" s="209"/>
      <c r="Y97" s="209"/>
      <c r="Z97" s="209"/>
      <c r="AA97" s="209"/>
      <c r="AB97" s="209"/>
      <c r="AC97" s="209"/>
      <c r="AD97" s="209"/>
      <c r="AE97" s="209"/>
      <c r="AF97" s="209"/>
      <c r="AH97" s="2">
        <v>2050</v>
      </c>
      <c r="AI97" s="2">
        <v>8.9999999999999993E-3</v>
      </c>
      <c r="AJ97" s="2" t="s">
        <v>489</v>
      </c>
    </row>
    <row r="98" spans="1:36" hidden="1">
      <c r="A98" s="416"/>
      <c r="B98" s="179" t="s">
        <v>523</v>
      </c>
      <c r="C98" s="226">
        <f>C95-C97</f>
        <v>9.778983969825553E-3</v>
      </c>
      <c r="D98" s="9" t="s">
        <v>524</v>
      </c>
      <c r="X98" s="209"/>
      <c r="Y98" s="209"/>
      <c r="Z98" s="209"/>
      <c r="AA98" s="209"/>
      <c r="AB98" s="209">
        <v>0.22</v>
      </c>
      <c r="AC98" s="209"/>
      <c r="AD98" s="209"/>
      <c r="AE98" s="209"/>
      <c r="AF98" s="209"/>
      <c r="AH98" s="2">
        <v>2051</v>
      </c>
      <c r="AI98" s="2">
        <v>8.9999999999999993E-3</v>
      </c>
      <c r="AJ98" s="2" t="s">
        <v>489</v>
      </c>
    </row>
    <row r="99" spans="1:36" hidden="1">
      <c r="A99" s="416"/>
      <c r="X99" s="209"/>
      <c r="Y99" s="209"/>
      <c r="Z99" s="209"/>
      <c r="AA99" s="209"/>
      <c r="AB99" s="209"/>
      <c r="AC99" s="209"/>
      <c r="AD99" s="209"/>
      <c r="AE99" s="209"/>
      <c r="AF99" s="209"/>
      <c r="AH99" s="2">
        <v>2052</v>
      </c>
      <c r="AI99" s="2">
        <v>8.9999999999999993E-3</v>
      </c>
      <c r="AJ99" s="2" t="s">
        <v>489</v>
      </c>
    </row>
    <row r="100" spans="1:36" hidden="1">
      <c r="A100" s="416"/>
      <c r="B100" s="179" t="s">
        <v>525</v>
      </c>
      <c r="C100" s="226">
        <f>F72*C76</f>
        <v>2.8972135304758086E-2</v>
      </c>
      <c r="D100" s="9" t="s">
        <v>522</v>
      </c>
      <c r="X100" s="209"/>
      <c r="Y100" s="209"/>
      <c r="Z100" s="209"/>
      <c r="AA100" s="209"/>
      <c r="AB100" s="209"/>
      <c r="AC100" s="209"/>
      <c r="AD100" s="209"/>
      <c r="AE100" s="209"/>
      <c r="AF100" s="209"/>
      <c r="AH100" s="2">
        <v>2053</v>
      </c>
      <c r="AI100" s="2">
        <v>8.9999999999999993E-3</v>
      </c>
      <c r="AJ100" s="2" t="s">
        <v>489</v>
      </c>
    </row>
    <row r="101" spans="1:36" hidden="1">
      <c r="A101" s="417"/>
      <c r="B101" s="179" t="s">
        <v>526</v>
      </c>
      <c r="C101" s="226">
        <f>F72*C77</f>
        <v>4.9143920638538181E-3</v>
      </c>
      <c r="D101" s="9" t="s">
        <v>522</v>
      </c>
      <c r="X101" s="209"/>
      <c r="Y101" s="209"/>
      <c r="Z101" s="209"/>
      <c r="AA101" s="209"/>
      <c r="AB101" s="209"/>
      <c r="AC101" s="209"/>
      <c r="AD101" s="209"/>
      <c r="AE101" s="209"/>
      <c r="AF101" s="209"/>
      <c r="AH101" s="2">
        <v>2054</v>
      </c>
      <c r="AI101" s="2">
        <v>8.9999999999999993E-3</v>
      </c>
      <c r="AJ101" s="2" t="s">
        <v>489</v>
      </c>
    </row>
    <row r="102" spans="1:36" hidden="1">
      <c r="X102" s="209"/>
      <c r="Y102" s="209"/>
      <c r="Z102" s="209"/>
      <c r="AA102" s="209"/>
      <c r="AB102" s="209"/>
      <c r="AC102" s="209"/>
      <c r="AD102" s="209"/>
      <c r="AE102" s="209"/>
      <c r="AF102" s="209"/>
      <c r="AH102" s="2">
        <v>2055</v>
      </c>
      <c r="AI102" s="2">
        <v>8.9999999999999993E-3</v>
      </c>
      <c r="AJ102" s="2" t="s">
        <v>489</v>
      </c>
    </row>
    <row r="103" spans="1:36" hidden="1">
      <c r="AH103" s="2">
        <v>2056</v>
      </c>
      <c r="AI103" s="2">
        <v>8.9999999999999993E-3</v>
      </c>
      <c r="AJ103" s="2" t="s">
        <v>489</v>
      </c>
    </row>
    <row r="104" spans="1:36" hidden="1">
      <c r="AH104" s="2">
        <v>2057</v>
      </c>
      <c r="AI104" s="2">
        <v>8.9999999999999993E-3</v>
      </c>
      <c r="AJ104" s="2" t="s">
        <v>489</v>
      </c>
    </row>
    <row r="105" spans="1:36" ht="14.1">
      <c r="B105" s="5" t="s">
        <v>527</v>
      </c>
      <c r="Y105" s="2" t="s">
        <v>528</v>
      </c>
      <c r="Z105" s="2" t="s">
        <v>529</v>
      </c>
      <c r="AA105" s="229">
        <f>AVERAGE(AI72:AI121)</f>
        <v>2.6549999999999973E-2</v>
      </c>
      <c r="AB105" s="228" t="s">
        <v>530</v>
      </c>
      <c r="AH105" s="2">
        <v>2058</v>
      </c>
      <c r="AI105" s="2">
        <v>8.9999999999999993E-3</v>
      </c>
      <c r="AJ105" s="2" t="s">
        <v>489</v>
      </c>
    </row>
    <row r="106" spans="1:36">
      <c r="B106" s="248" t="s">
        <v>167</v>
      </c>
      <c r="C106" s="248" t="s">
        <v>168</v>
      </c>
      <c r="D106" s="248" t="s">
        <v>531</v>
      </c>
      <c r="E106" s="248" t="s">
        <v>532</v>
      </c>
      <c r="F106" s="248" t="s">
        <v>171</v>
      </c>
      <c r="G106" s="248" t="s">
        <v>164</v>
      </c>
      <c r="H106" s="248" t="s">
        <v>514</v>
      </c>
      <c r="AH106" s="2">
        <v>2059</v>
      </c>
      <c r="AI106" s="2">
        <v>8.9999999999999993E-3</v>
      </c>
      <c r="AJ106" s="2" t="s">
        <v>489</v>
      </c>
    </row>
    <row r="107" spans="1:36">
      <c r="B107" s="213">
        <v>155.60203203035528</v>
      </c>
      <c r="C107" s="213">
        <v>9.4514106851301811</v>
      </c>
      <c r="D107" s="213">
        <v>4.0210290743086627</v>
      </c>
      <c r="E107" s="213">
        <v>81.679445435074001</v>
      </c>
      <c r="F107" s="213">
        <v>2.0424108841318791</v>
      </c>
      <c r="G107" s="9" t="s">
        <v>533</v>
      </c>
      <c r="H107" s="9" t="s">
        <v>534</v>
      </c>
      <c r="AH107" s="2">
        <v>2060</v>
      </c>
      <c r="AI107" s="2">
        <v>8.9999999999999993E-3</v>
      </c>
      <c r="AJ107" s="2" t="s">
        <v>489</v>
      </c>
    </row>
    <row r="108" spans="1:36">
      <c r="AH108" s="2">
        <v>2061</v>
      </c>
      <c r="AI108" s="2">
        <v>8.9999999999999993E-3</v>
      </c>
      <c r="AJ108" s="2" t="s">
        <v>489</v>
      </c>
    </row>
    <row r="109" spans="1:36">
      <c r="AH109" s="2">
        <v>2062</v>
      </c>
      <c r="AI109" s="2">
        <v>8.9999999999999993E-3</v>
      </c>
      <c r="AJ109" s="2" t="s">
        <v>489</v>
      </c>
    </row>
    <row r="110" spans="1:36" ht="14.4" thickBot="1">
      <c r="B110" s="5" t="s">
        <v>535</v>
      </c>
      <c r="AH110" s="2">
        <v>2063</v>
      </c>
      <c r="AI110" s="2">
        <v>8.9999999999999993E-3</v>
      </c>
      <c r="AJ110" s="2" t="s">
        <v>489</v>
      </c>
    </row>
    <row r="111" spans="1:36" ht="19.5" customHeight="1" thickTop="1">
      <c r="B111" s="254" t="s">
        <v>536</v>
      </c>
      <c r="C111" s="265" t="s">
        <v>537</v>
      </c>
      <c r="D111" s="255"/>
      <c r="E111" s="255"/>
      <c r="F111" s="255"/>
      <c r="G111" s="255"/>
      <c r="H111" s="255"/>
      <c r="I111" s="256"/>
      <c r="AH111" s="2">
        <v>2064</v>
      </c>
      <c r="AI111" s="2">
        <v>8.9999999999999993E-3</v>
      </c>
      <c r="AJ111" s="2" t="s">
        <v>489</v>
      </c>
    </row>
    <row r="112" spans="1:36" ht="14.1">
      <c r="B112" s="257"/>
      <c r="C112" s="262" t="s">
        <v>221</v>
      </c>
      <c r="D112" s="263" t="s">
        <v>222</v>
      </c>
      <c r="E112" s="263" t="s">
        <v>223</v>
      </c>
      <c r="F112" s="263" t="s">
        <v>224</v>
      </c>
      <c r="G112" s="263" t="s">
        <v>225</v>
      </c>
      <c r="H112" s="263" t="s">
        <v>226</v>
      </c>
      <c r="I112" s="264" t="s">
        <v>538</v>
      </c>
      <c r="AH112" s="2">
        <v>2065</v>
      </c>
      <c r="AI112" s="2">
        <v>8.9999999999999993E-3</v>
      </c>
      <c r="AJ112" s="2" t="s">
        <v>489</v>
      </c>
    </row>
    <row r="113" spans="1:36" ht="23.1" thickBot="1">
      <c r="B113" s="258"/>
      <c r="C113" s="259" t="s">
        <v>539</v>
      </c>
      <c r="D113" s="260" t="s">
        <v>539</v>
      </c>
      <c r="E113" s="260" t="s">
        <v>539</v>
      </c>
      <c r="F113" s="260" t="s">
        <v>539</v>
      </c>
      <c r="G113" s="260" t="s">
        <v>539</v>
      </c>
      <c r="H113" s="260" t="s">
        <v>539</v>
      </c>
      <c r="I113" s="261" t="s">
        <v>540</v>
      </c>
      <c r="AH113" s="2">
        <v>2066</v>
      </c>
      <c r="AI113" s="2">
        <v>8.9999999999999993E-3</v>
      </c>
      <c r="AJ113" s="2" t="s">
        <v>489</v>
      </c>
    </row>
    <row r="114" spans="1:36">
      <c r="A114" s="253" t="s">
        <v>232</v>
      </c>
      <c r="B114" s="230" t="s">
        <v>404</v>
      </c>
      <c r="C114" s="231">
        <v>95</v>
      </c>
      <c r="D114" s="232">
        <v>120</v>
      </c>
      <c r="E114" s="232">
        <v>145</v>
      </c>
      <c r="F114" s="232">
        <v>175</v>
      </c>
      <c r="G114" s="232">
        <v>205</v>
      </c>
      <c r="H114" s="232">
        <v>250</v>
      </c>
      <c r="I114" s="411" t="s">
        <v>541</v>
      </c>
      <c r="AH114" s="2">
        <v>2067</v>
      </c>
      <c r="AI114" s="2">
        <v>8.9999999999999993E-3</v>
      </c>
      <c r="AJ114" s="2" t="s">
        <v>489</v>
      </c>
    </row>
    <row r="115" spans="1:36">
      <c r="A115" s="253"/>
      <c r="B115" s="233" t="s">
        <v>542</v>
      </c>
      <c r="C115" s="234" t="s">
        <v>543</v>
      </c>
      <c r="D115" s="235" t="s">
        <v>544</v>
      </c>
      <c r="E115" s="235" t="s">
        <v>545</v>
      </c>
      <c r="F115" s="235" t="s">
        <v>546</v>
      </c>
      <c r="G115" s="235" t="s">
        <v>547</v>
      </c>
      <c r="H115" s="235" t="s">
        <v>548</v>
      </c>
      <c r="I115" s="412"/>
      <c r="AH115" s="2">
        <v>2068</v>
      </c>
      <c r="AI115" s="2">
        <v>8.9999999999999993E-3</v>
      </c>
      <c r="AJ115" s="2" t="s">
        <v>489</v>
      </c>
    </row>
    <row r="116" spans="1:36">
      <c r="A116" s="253" t="s">
        <v>239</v>
      </c>
      <c r="B116" s="236" t="s">
        <v>549</v>
      </c>
      <c r="C116" s="237">
        <v>85</v>
      </c>
      <c r="D116" s="238">
        <v>95</v>
      </c>
      <c r="E116" s="238">
        <v>110</v>
      </c>
      <c r="F116" s="238">
        <v>135</v>
      </c>
      <c r="G116" s="238">
        <v>160</v>
      </c>
      <c r="H116" s="238">
        <v>200</v>
      </c>
      <c r="I116" s="413" t="s">
        <v>541</v>
      </c>
      <c r="AH116" s="2">
        <v>2069</v>
      </c>
      <c r="AI116" s="2">
        <v>8.9999999999999993E-3</v>
      </c>
      <c r="AJ116" s="2" t="s">
        <v>489</v>
      </c>
    </row>
    <row r="117" spans="1:36">
      <c r="A117" s="253"/>
      <c r="B117" s="233" t="s">
        <v>550</v>
      </c>
      <c r="C117" s="234" t="s">
        <v>551</v>
      </c>
      <c r="D117" s="235" t="s">
        <v>552</v>
      </c>
      <c r="E117" s="235" t="s">
        <v>553</v>
      </c>
      <c r="F117" s="235" t="s">
        <v>554</v>
      </c>
      <c r="G117" s="235" t="s">
        <v>555</v>
      </c>
      <c r="H117" s="235" t="s">
        <v>556</v>
      </c>
      <c r="I117" s="412"/>
      <c r="AH117" s="2">
        <v>2070</v>
      </c>
      <c r="AI117" s="2">
        <v>8.9999999999999993E-3</v>
      </c>
      <c r="AJ117" s="2" t="s">
        <v>489</v>
      </c>
    </row>
    <row r="118" spans="1:36">
      <c r="A118" s="253" t="s">
        <v>244</v>
      </c>
      <c r="B118" s="239" t="s">
        <v>244</v>
      </c>
      <c r="C118" s="240">
        <v>85</v>
      </c>
      <c r="D118" s="241">
        <v>115</v>
      </c>
      <c r="E118" s="241">
        <v>145</v>
      </c>
      <c r="F118" s="241">
        <v>180</v>
      </c>
      <c r="G118" s="241">
        <v>220</v>
      </c>
      <c r="H118" s="241">
        <v>275</v>
      </c>
      <c r="I118" s="242" t="s">
        <v>557</v>
      </c>
      <c r="AH118" s="2">
        <v>2071</v>
      </c>
      <c r="AI118" s="2">
        <v>8.9999999999999993E-3</v>
      </c>
      <c r="AJ118" s="2" t="s">
        <v>489</v>
      </c>
    </row>
    <row r="119" spans="1:36">
      <c r="A119" s="253" t="s">
        <v>249</v>
      </c>
      <c r="B119" s="239" t="s">
        <v>558</v>
      </c>
      <c r="C119" s="240">
        <v>90</v>
      </c>
      <c r="D119" s="241">
        <v>115</v>
      </c>
      <c r="E119" s="241">
        <v>145</v>
      </c>
      <c r="F119" s="241">
        <v>180</v>
      </c>
      <c r="G119" s="241">
        <v>220</v>
      </c>
      <c r="H119" s="241">
        <v>275</v>
      </c>
      <c r="I119" s="242" t="s">
        <v>557</v>
      </c>
      <c r="AH119" s="2">
        <v>2072</v>
      </c>
      <c r="AI119" s="2">
        <v>8.9999999999999993E-3</v>
      </c>
      <c r="AJ119" s="2" t="s">
        <v>489</v>
      </c>
    </row>
    <row r="120" spans="1:36">
      <c r="A120" s="253" t="s">
        <v>253</v>
      </c>
      <c r="B120" s="239" t="s">
        <v>559</v>
      </c>
      <c r="C120" s="240">
        <v>75</v>
      </c>
      <c r="D120" s="241">
        <v>105</v>
      </c>
      <c r="E120" s="241">
        <v>135</v>
      </c>
      <c r="F120" s="241">
        <v>175</v>
      </c>
      <c r="G120" s="241">
        <v>220</v>
      </c>
      <c r="H120" s="241">
        <v>280</v>
      </c>
      <c r="I120" s="242" t="s">
        <v>557</v>
      </c>
      <c r="AH120" s="2">
        <v>2073</v>
      </c>
      <c r="AI120" s="2">
        <v>8.9999999999999993E-3</v>
      </c>
      <c r="AJ120" s="2" t="s">
        <v>489</v>
      </c>
    </row>
    <row r="121" spans="1:36">
      <c r="A121" s="253" t="s">
        <v>258</v>
      </c>
      <c r="B121" s="239" t="s">
        <v>258</v>
      </c>
      <c r="C121" s="240">
        <v>145</v>
      </c>
      <c r="D121" s="241">
        <v>195</v>
      </c>
      <c r="E121" s="241">
        <v>240</v>
      </c>
      <c r="F121" s="241">
        <v>295</v>
      </c>
      <c r="G121" s="241">
        <v>355</v>
      </c>
      <c r="H121" s="241">
        <v>440</v>
      </c>
      <c r="I121" s="242" t="s">
        <v>557</v>
      </c>
      <c r="AH121" s="2">
        <v>2074</v>
      </c>
      <c r="AI121" s="2">
        <v>8.9999999999999993E-3</v>
      </c>
      <c r="AJ121" s="2" t="s">
        <v>489</v>
      </c>
    </row>
    <row r="122" spans="1:36">
      <c r="A122" s="253" t="s">
        <v>263</v>
      </c>
      <c r="B122" s="239" t="s">
        <v>263</v>
      </c>
      <c r="C122" s="240">
        <v>140</v>
      </c>
      <c r="D122" s="241">
        <v>190</v>
      </c>
      <c r="E122" s="241">
        <v>240</v>
      </c>
      <c r="F122" s="241">
        <v>290</v>
      </c>
      <c r="G122" s="241">
        <v>340</v>
      </c>
      <c r="H122" s="241">
        <v>415</v>
      </c>
      <c r="I122" s="242" t="s">
        <v>557</v>
      </c>
      <c r="AH122" s="2">
        <v>2075</v>
      </c>
      <c r="AI122" s="2">
        <v>8.9999999999999993E-3</v>
      </c>
      <c r="AJ122" s="2" t="s">
        <v>489</v>
      </c>
    </row>
    <row r="123" spans="1:36">
      <c r="A123" s="253" t="s">
        <v>267</v>
      </c>
      <c r="B123" s="239" t="s">
        <v>267</v>
      </c>
      <c r="C123" s="240">
        <v>125</v>
      </c>
      <c r="D123" s="241">
        <v>165</v>
      </c>
      <c r="E123" s="241">
        <v>205</v>
      </c>
      <c r="F123" s="241">
        <v>275</v>
      </c>
      <c r="G123" s="241">
        <v>345</v>
      </c>
      <c r="H123" s="241">
        <v>440</v>
      </c>
      <c r="I123" s="242" t="s">
        <v>557</v>
      </c>
      <c r="AH123" s="2">
        <v>2076</v>
      </c>
      <c r="AI123" s="2">
        <v>8.9999999999999993E-3</v>
      </c>
      <c r="AJ123" s="2" t="s">
        <v>489</v>
      </c>
    </row>
    <row r="124" spans="1:36">
      <c r="A124" s="253" t="s">
        <v>270</v>
      </c>
      <c r="B124" s="239" t="s">
        <v>560</v>
      </c>
      <c r="C124" s="240">
        <v>115</v>
      </c>
      <c r="D124" s="241">
        <v>160</v>
      </c>
      <c r="E124" s="241">
        <v>210</v>
      </c>
      <c r="F124" s="241">
        <v>255</v>
      </c>
      <c r="G124" s="241">
        <v>300</v>
      </c>
      <c r="H124" s="241">
        <v>375</v>
      </c>
      <c r="I124" s="242" t="s">
        <v>557</v>
      </c>
      <c r="AH124" s="2">
        <v>2077</v>
      </c>
      <c r="AI124" s="2">
        <v>8.9999999999999993E-3</v>
      </c>
      <c r="AJ124" s="2" t="s">
        <v>489</v>
      </c>
    </row>
    <row r="125" spans="1:36">
      <c r="A125" s="253" t="s">
        <v>271</v>
      </c>
      <c r="B125" s="239" t="s">
        <v>271</v>
      </c>
      <c r="C125" s="240">
        <v>95</v>
      </c>
      <c r="D125" s="241">
        <v>135</v>
      </c>
      <c r="E125" s="241">
        <v>175</v>
      </c>
      <c r="F125" s="241">
        <v>215</v>
      </c>
      <c r="G125" s="241">
        <v>255</v>
      </c>
      <c r="H125" s="241">
        <v>320</v>
      </c>
      <c r="I125" s="242" t="s">
        <v>557</v>
      </c>
      <c r="AH125" s="2">
        <v>2078</v>
      </c>
      <c r="AI125" s="2">
        <v>8.9999999999999993E-3</v>
      </c>
      <c r="AJ125" s="2" t="s">
        <v>489</v>
      </c>
    </row>
    <row r="126" spans="1:36" ht="14.1" thickBot="1">
      <c r="A126" s="253" t="s">
        <v>277</v>
      </c>
      <c r="B126" s="243" t="s">
        <v>561</v>
      </c>
      <c r="C126" s="244">
        <v>105</v>
      </c>
      <c r="D126" s="245">
        <v>145</v>
      </c>
      <c r="E126" s="245">
        <v>185</v>
      </c>
      <c r="F126" s="245">
        <v>250</v>
      </c>
      <c r="G126" s="245">
        <v>315</v>
      </c>
      <c r="H126" s="245">
        <v>405</v>
      </c>
      <c r="I126" s="246" t="s">
        <v>557</v>
      </c>
    </row>
    <row r="127" spans="1:36" ht="14.1" thickTop="1"/>
    <row r="131" spans="2:7" ht="22.2">
      <c r="B131" s="267" t="s">
        <v>562</v>
      </c>
    </row>
    <row r="132" spans="2:7">
      <c r="B132" s="250" t="s">
        <v>563</v>
      </c>
      <c r="C132" s="250" t="s">
        <v>564</v>
      </c>
      <c r="D132" s="250"/>
      <c r="E132" s="250"/>
    </row>
    <row r="133" spans="2:7" ht="27.6">
      <c r="B133" s="275" t="s">
        <v>565</v>
      </c>
      <c r="C133" s="13">
        <v>-7.5</v>
      </c>
      <c r="D133" s="13" t="s">
        <v>566</v>
      </c>
      <c r="E133" s="275" t="s">
        <v>567</v>
      </c>
    </row>
    <row r="134" spans="2:7" ht="27.6">
      <c r="B134" s="275" t="s">
        <v>568</v>
      </c>
      <c r="C134" s="13">
        <v>-8.4</v>
      </c>
      <c r="D134" s="13" t="s">
        <v>566</v>
      </c>
      <c r="E134" s="275" t="s">
        <v>567</v>
      </c>
    </row>
    <row r="135" spans="2:7" ht="27.6">
      <c r="B135" s="9" t="s">
        <v>316</v>
      </c>
      <c r="C135" s="9">
        <v>-5.5</v>
      </c>
      <c r="D135" s="9" t="s">
        <v>566</v>
      </c>
      <c r="E135" s="15" t="s">
        <v>567</v>
      </c>
    </row>
    <row r="136" spans="2:7">
      <c r="B136" s="9" t="s">
        <v>569</v>
      </c>
      <c r="C136" s="266">
        <f>(-(0.18+0.41)/2)*20</f>
        <v>-5.8999999999999995</v>
      </c>
      <c r="D136" s="9" t="s">
        <v>566</v>
      </c>
      <c r="E136" s="15" t="s">
        <v>570</v>
      </c>
      <c r="G136" s="268"/>
    </row>
    <row r="137" spans="2:7" ht="27.6">
      <c r="B137" s="9" t="s">
        <v>571</v>
      </c>
      <c r="C137" s="266">
        <f>(-(0.18+0.41)/2)*20</f>
        <v>-5.8999999999999995</v>
      </c>
      <c r="D137" s="9" t="s">
        <v>566</v>
      </c>
      <c r="E137" s="15" t="s">
        <v>572</v>
      </c>
    </row>
    <row r="139" spans="2:7">
      <c r="B139" s="250" t="s">
        <v>573</v>
      </c>
      <c r="C139" s="250"/>
      <c r="D139" s="250"/>
      <c r="E139" s="250"/>
    </row>
    <row r="140" spans="2:7">
      <c r="B140" s="9" t="s">
        <v>320</v>
      </c>
      <c r="C140" s="213">
        <f>-1134.7</f>
        <v>-1134.7</v>
      </c>
      <c r="D140" s="9" t="s">
        <v>574</v>
      </c>
      <c r="E140" s="404" t="s">
        <v>575</v>
      </c>
    </row>
    <row r="141" spans="2:7">
      <c r="B141" s="9" t="s">
        <v>321</v>
      </c>
      <c r="C141" s="213">
        <f>-301.5</f>
        <v>-301.5</v>
      </c>
      <c r="D141" s="9" t="s">
        <v>574</v>
      </c>
      <c r="E141" s="405"/>
    </row>
    <row r="142" spans="2:7">
      <c r="B142" s="9" t="s">
        <v>323</v>
      </c>
      <c r="C142" s="213">
        <f>-437.5</f>
        <v>-437.5</v>
      </c>
      <c r="D142" s="9" t="s">
        <v>574</v>
      </c>
      <c r="E142" s="406"/>
    </row>
    <row r="145" spans="2:7">
      <c r="B145" s="250" t="s">
        <v>576</v>
      </c>
      <c r="C145" s="250"/>
      <c r="D145" s="250"/>
      <c r="E145" s="250"/>
      <c r="G145" s="269"/>
    </row>
    <row r="146" spans="2:7">
      <c r="B146" s="9" t="s">
        <v>289</v>
      </c>
      <c r="C146" s="9">
        <v>60</v>
      </c>
      <c r="D146" s="9" t="s">
        <v>566</v>
      </c>
      <c r="E146" s="407" t="s">
        <v>577</v>
      </c>
    </row>
    <row r="147" spans="2:7">
      <c r="B147" s="9" t="s">
        <v>292</v>
      </c>
      <c r="C147" s="9">
        <v>71</v>
      </c>
      <c r="D147" s="9" t="s">
        <v>566</v>
      </c>
      <c r="E147" s="408"/>
    </row>
    <row r="148" spans="2:7">
      <c r="B148" s="9" t="s">
        <v>578</v>
      </c>
      <c r="C148" s="9">
        <v>84</v>
      </c>
      <c r="D148" s="9" t="s">
        <v>566</v>
      </c>
      <c r="E148" s="408"/>
    </row>
    <row r="149" spans="2:7">
      <c r="B149" s="9" t="s">
        <v>298</v>
      </c>
      <c r="C149" s="9">
        <v>337</v>
      </c>
      <c r="D149" s="9" t="s">
        <v>566</v>
      </c>
      <c r="E149" s="409"/>
    </row>
  </sheetData>
  <sheetProtection algorithmName="SHA-512" hashValue="oXqEmy8pGLYvKrmJaqpIens5dH/XSKA7aDdsA9slAtkd/3VliZHeTZ5+ofxQ7ZIBP1ib9aUo7SYC6ZugoMXmUA==" saltValue="IUz2QNdGR0wcmDwIzFOPwg==" spinCount="100000" sheet="1" objects="1" scenarios="1"/>
  <mergeCells count="11">
    <mergeCell ref="B18:G18"/>
    <mergeCell ref="K18:P18"/>
    <mergeCell ref="B52:G52"/>
    <mergeCell ref="A66:A73"/>
    <mergeCell ref="A95:A101"/>
    <mergeCell ref="C89:D89"/>
    <mergeCell ref="E140:E142"/>
    <mergeCell ref="E146:E149"/>
    <mergeCell ref="AX59:BB59"/>
    <mergeCell ref="I114:I115"/>
    <mergeCell ref="I116:I117"/>
  </mergeCells>
  <pageMargins left="0.7" right="0.7" top="0.75" bottom="0.75" header="0.3" footer="0.3"/>
  <pageSetup paperSize="9" scale="38" fitToHeight="0" orientation="portrait" verticalDpi="0" r:id="rId1"/>
  <rowBreaks count="1" manualBreakCount="1">
    <brk id="130"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ema xmlns="aaf9d447-8d56-4cee-bc74-238be4c12d89" xsi:nil="true"/>
    <RevisjonsDato xmlns="aaf9d447-8d56-4cee-bc74-238be4c12d89" xsi:nil="true"/>
    <Revisjon xmlns="aaf9d447-8d56-4cee-bc74-238be4c12d89" xsi:nil="true"/>
    <Platform xmlns="342c2b7d-a93f-438f-93a3-2e4439ff95db">BikubeOnline</Platform>
    <_dlc_DocId xmlns="aaf9d447-8d56-4cee-bc74-238be4c12d89">R477KVCTYHEC-2002003359-141</_dlc_DocId>
    <_dlc_DocIdUrl xmlns="aaf9d447-8d56-4cee-bc74-238be4c12d89">
      <Url>https://asplanviak.sharepoint.com/sites/645103-01/_layouts/15/DocIdRedir.aspx?ID=R477KVCTYHEC-2002003359-141</Url>
      <Description>R477KVCTYHEC-2002003359-141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Oppdragsdokument" ma:contentTypeID="0x010100FDC052BD4FDE6948A06E0D71C3432475007F044EC0A1438B4ABD097FBE487B3737" ma:contentTypeVersion="7" ma:contentTypeDescription="Opprett et nytt dokument." ma:contentTypeScope="" ma:versionID="ae8e817a760166bb5075bf177803ee82">
  <xsd:schema xmlns:xsd="http://www.w3.org/2001/XMLSchema" xmlns:xs="http://www.w3.org/2001/XMLSchema" xmlns:p="http://schemas.microsoft.com/office/2006/metadata/properties" xmlns:ns2="aaf9d447-8d56-4cee-bc74-238be4c12d89" xmlns:ns3="342c2b7d-a93f-438f-93a3-2e4439ff95db" targetNamespace="http://schemas.microsoft.com/office/2006/metadata/properties" ma:root="true" ma:fieldsID="c02ac602487a3265e4029a44b8ddbe78" ns2:_="" ns3:_="">
    <xsd:import namespace="aaf9d447-8d56-4cee-bc74-238be4c12d89"/>
    <xsd:import namespace="342c2b7d-a93f-438f-93a3-2e4439ff95db"/>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9d447-8d56-4cee-bc74-238be4c12d89"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dexed="true"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d6dbac4c-59f9-4f4e-a760-4d891063504b}"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42c2b7d-a93f-438f-93a3-2e4439ff95db"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ABF737-7F71-4B75-A5EF-63DDF2F3B6C9}">
  <ds:schemaRefs>
    <ds:schemaRef ds:uri="http://schemas.microsoft.com/sharepoint/events"/>
  </ds:schemaRefs>
</ds:datastoreItem>
</file>

<file path=customXml/itemProps2.xml><?xml version="1.0" encoding="utf-8"?>
<ds:datastoreItem xmlns:ds="http://schemas.openxmlformats.org/officeDocument/2006/customXml" ds:itemID="{DBC2454D-CD0F-4590-A13A-790302692E7A}">
  <ds:schemaRefs>
    <ds:schemaRef ds:uri="http://schemas.microsoft.com/sharepoint/v3/contenttype/forms"/>
  </ds:schemaRefs>
</ds:datastoreItem>
</file>

<file path=customXml/itemProps3.xml><?xml version="1.0" encoding="utf-8"?>
<ds:datastoreItem xmlns:ds="http://schemas.openxmlformats.org/officeDocument/2006/customXml" ds:itemID="{69396881-CF90-4A8D-ACF8-4A8E807661A0}">
  <ds:schemaRefs>
    <ds:schemaRef ds:uri="http://purl.org/dc/elements/1.1/"/>
    <ds:schemaRef ds:uri="http://www.w3.org/XML/1998/namespace"/>
    <ds:schemaRef ds:uri="http://schemas.microsoft.com/office/2006/metadata/properties"/>
    <ds:schemaRef ds:uri="aaf9d447-8d56-4cee-bc74-238be4c12d89"/>
    <ds:schemaRef ds:uri="http://purl.org/dc/dcmitype/"/>
    <ds:schemaRef ds:uri="http://purl.org/dc/terms/"/>
    <ds:schemaRef ds:uri="http://schemas.microsoft.com/office/2006/documentManagement/types"/>
    <ds:schemaRef ds:uri="342c2b7d-a93f-438f-93a3-2e4439ff95db"/>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32F94F9A-5516-4C18-B53F-91940E2C8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9d447-8d56-4cee-bc74-238be4c12d89"/>
    <ds:schemaRef ds:uri="342c2b7d-a93f-438f-93a3-2e4439ff9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19</vt:i4>
      </vt:variant>
    </vt:vector>
  </HeadingPairs>
  <TitlesOfParts>
    <vt:vector size="28" baseType="lpstr">
      <vt:lpstr>Intro</vt:lpstr>
      <vt:lpstr>Resultat</vt:lpstr>
      <vt:lpstr>Generelt om prosjektet</vt:lpstr>
      <vt:lpstr>Alternativ 1</vt:lpstr>
      <vt:lpstr>Alternativ 2</vt:lpstr>
      <vt:lpstr>Alternativ 3</vt:lpstr>
      <vt:lpstr>Alternativ 4</vt:lpstr>
      <vt:lpstr>Alternativ 5</vt:lpstr>
      <vt:lpstr>Utslippsdata</vt:lpstr>
      <vt:lpstr>'Alternativ 2'!Ja</vt:lpstr>
      <vt:lpstr>'Alternativ 3'!Ja</vt:lpstr>
      <vt:lpstr>'Alternativ 4'!Ja</vt:lpstr>
      <vt:lpstr>'Alternativ 5'!Ja</vt:lpstr>
      <vt:lpstr>Ja</vt:lpstr>
      <vt:lpstr>'Alternativ 2'!Nei</vt:lpstr>
      <vt:lpstr>'Alternativ 3'!Nei</vt:lpstr>
      <vt:lpstr>'Alternativ 4'!Nei</vt:lpstr>
      <vt:lpstr>'Alternativ 5'!Nei</vt:lpstr>
      <vt:lpstr>Nei</vt:lpstr>
      <vt:lpstr>'Alternativ 1'!Utskriftsområde</vt:lpstr>
      <vt:lpstr>'Alternativ 2'!Utskriftsområde</vt:lpstr>
      <vt:lpstr>'Alternativ 3'!Utskriftsområde</vt:lpstr>
      <vt:lpstr>'Alternativ 4'!Utskriftsområde</vt:lpstr>
      <vt:lpstr>'Alternativ 5'!Utskriftsområde</vt:lpstr>
      <vt:lpstr>'Generelt om prosjektet'!Utskriftsområde</vt:lpstr>
      <vt:lpstr>Intro!Utskriftsområde</vt:lpstr>
      <vt:lpstr>Resultat!Utskriftsområde</vt:lpstr>
      <vt:lpstr>Utslippsdata!Utskriftsområde</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Oddbjørn Dahlstrøm Andvik</dc:creator>
  <cp:keywords/>
  <dc:description/>
  <cp:lastModifiedBy>Alexander Borg</cp:lastModifiedBy>
  <cp:revision/>
  <dcterms:created xsi:type="dcterms:W3CDTF">2024-10-16T12:54:00Z</dcterms:created>
  <dcterms:modified xsi:type="dcterms:W3CDTF">2024-12-19T11:35:05Z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0x010100FDC052BD4FDE6948A06E0D71C3432475007F044EC0A1438B4ABD097FBE487B3737</vt:lpwstr>
  </property>
  <property fmtid="{D5CDD505-2E9C-101B-9397-08002B2CF9AE}" pid="3" name="_dlc_DocIdItemGuid">
    <vt:lpwstr>ffb298ea-563f-436c-b2bb-0c6dc652a81f</vt:lpwstr>
  </property>
</Properties>
</file>