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asplanviak-my.sharepoint.com/personal/oddbjorn_dahlstrom_asplanviak_no/Documents/Desktop/TMP/"/>
    </mc:Choice>
  </mc:AlternateContent>
  <xr:revisionPtr revIDLastSave="0" documentId="8_{612D3AD4-DE80-40F1-96C5-0C1351D831C0}" xr6:coauthVersionLast="47" xr6:coauthVersionMax="47" xr10:uidLastSave="{00000000-0000-0000-0000-000000000000}"/>
  <workbookProtection workbookAlgorithmName="SHA-512" workbookHashValue="OJCcgkHsgsDgoWH1wNvcxVfzPyuI3yKxFXxlnvxJtKBP42bMovF2y0CfVuLBHC3wjyazD7pFJ09oBPDe16Z7AQ==" workbookSaltValue="rYIRK38QxULqNpuWoLs7/g==" workbookSpinCount="100000" lockStructure="1"/>
  <bookViews>
    <workbookView xWindow="-120" yWindow="-120" windowWidth="51840" windowHeight="21120" tabRatio="703" xr2:uid="{01FF0097-B727-425F-9DC6-32CF7B7CC4CC}"/>
  </bookViews>
  <sheets>
    <sheet name="Intro" sheetId="1" r:id="rId1"/>
    <sheet name="Resultat" sheetId="3" r:id="rId2"/>
    <sheet name="Sheet1" sheetId="17" state="hidden" r:id="rId3"/>
    <sheet name="Generelt om prosjektet" sheetId="5" r:id="rId4"/>
    <sheet name="Alternativ 1" sheetId="9" r:id="rId5"/>
    <sheet name="Alternativ 2" sheetId="13" r:id="rId6"/>
    <sheet name="Alternativ 3" sheetId="14" r:id="rId7"/>
    <sheet name="Alternativ 4" sheetId="15" r:id="rId8"/>
    <sheet name="Alternativ 5" sheetId="16" r:id="rId9"/>
    <sheet name="Utslippsdata" sheetId="6" r:id="rId10"/>
  </sheets>
  <definedNames>
    <definedName name="alt_1">Sheet1!$H$9</definedName>
    <definedName name="alt_2">Sheet1!$H$10</definedName>
    <definedName name="alt_3">Sheet1!$H$11</definedName>
    <definedName name="alt_4">Sheet1!$H$12</definedName>
    <definedName name="alt_5">Sheet1!$H$13</definedName>
    <definedName name="b_1">Sheet1!$G$27</definedName>
    <definedName name="b_2">Sheet1!$G$28</definedName>
    <definedName name="b_3">Sheet1!$G$29</definedName>
    <definedName name="b_4">Sheet1!$G$30</definedName>
    <definedName name="b_5">Sheet1!$G$31</definedName>
    <definedName name="bilde_1">INDIRECT(Sheet1!$J$9)</definedName>
    <definedName name="bilde_2">INDIRECT(Sheet1!$J$10)</definedName>
    <definedName name="bilde_3">INDIRECT(Sheet1!$J$11)</definedName>
    <definedName name="bilde_4">INDIRECT(Sheet1!$J$12)</definedName>
    <definedName name="bilde_5">INDIRECT(Sheet1!$J$13)</definedName>
    <definedName name="Ja" localSheetId="5">'Alternativ 2'!$AA$46</definedName>
    <definedName name="Ja" localSheetId="6">'Alternativ 3'!$AA$46</definedName>
    <definedName name="Ja" localSheetId="7">'Alternativ 4'!$AA$46</definedName>
    <definedName name="Ja" localSheetId="8">'Alternativ 5'!$AA$46</definedName>
    <definedName name="Ja">'Alternativ 1'!$AA$46</definedName>
    <definedName name="linje_1">INDIRECT(Sheet1!$I$27)</definedName>
    <definedName name="linje_2">INDIRECT(Sheet1!$I$28)</definedName>
    <definedName name="linje_3">INDIRECT(Sheet1!$I$29)</definedName>
    <definedName name="linje_4">INDIRECT(Sheet1!$I$30)</definedName>
    <definedName name="linje_5">INDIRECT(Sheet1!$I$31)</definedName>
    <definedName name="Nei" localSheetId="5">'Alternativ 2'!$AA$47</definedName>
    <definedName name="Nei" localSheetId="6">'Alternativ 3'!$AA$47</definedName>
    <definedName name="Nei" localSheetId="7">'Alternativ 4'!$AA$47</definedName>
    <definedName name="Nei" localSheetId="8">'Alternativ 5'!$AA$47</definedName>
    <definedName name="Nei">'Alternativ 1'!$AA$47</definedName>
    <definedName name="_xlnm.Print_Area" localSheetId="4">'Alternativ 1'!$C$2:$T$159</definedName>
    <definedName name="_xlnm.Print_Area" localSheetId="5">'Alternativ 2'!$C$2:$T$159</definedName>
    <definedName name="_xlnm.Print_Area" localSheetId="6">'Alternativ 3'!$C$2:$T$159</definedName>
    <definedName name="_xlnm.Print_Area" localSheetId="7">'Alternativ 4'!$C$2:$T$159</definedName>
    <definedName name="_xlnm.Print_Area" localSheetId="8">'Alternativ 5'!$C$2:$T$159</definedName>
    <definedName name="_xlnm.Print_Area" localSheetId="3">'Generelt om prosjektet'!$B$2:$D$52</definedName>
    <definedName name="_xlnm.Print_Area" localSheetId="0">Intro!$B$2:$U$17</definedName>
    <definedName name="_xlnm.Print_Area" localSheetId="1">Resultat!$C$2:$M$68</definedName>
    <definedName name="_xlnm.Print_Area" localSheetId="9">Utslippsdata!$B$3:$I$153</definedName>
    <definedName name="tom">Sheet1!$H$14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9" i="16" l="1"/>
  <c r="C89" i="15"/>
  <c r="C89" i="14"/>
  <c r="C89" i="13"/>
  <c r="C89" i="9"/>
  <c r="F8" i="17"/>
  <c r="E12" i="17" s="1"/>
  <c r="J12" i="17" s="1"/>
  <c r="E13" i="17" l="1"/>
  <c r="F30" i="17"/>
  <c r="I30" i="17" s="1"/>
  <c r="E9" i="17"/>
  <c r="E10" i="17"/>
  <c r="E11" i="17"/>
  <c r="J10" i="17" l="1"/>
  <c r="F28" i="17"/>
  <c r="I28" i="17" s="1"/>
  <c r="J9" i="17"/>
  <c r="F27" i="17"/>
  <c r="I27" i="17" s="1"/>
  <c r="J11" i="17"/>
  <c r="F29" i="17"/>
  <c r="I29" i="17" s="1"/>
  <c r="J13" i="17"/>
  <c r="F31" i="17"/>
  <c r="I31" i="17" s="1"/>
  <c r="C6" i="1" l="1"/>
  <c r="C5" i="1"/>
  <c r="Z79" i="3"/>
  <c r="G80" i="13"/>
  <c r="V32" i="16"/>
  <c r="J86" i="3" l="1"/>
  <c r="J88" i="3"/>
  <c r="J85" i="3"/>
  <c r="AW25" i="16"/>
  <c r="AV25" i="16"/>
  <c r="AU25" i="16"/>
  <c r="AT25" i="16"/>
  <c r="AS25" i="16"/>
  <c r="AR25" i="16"/>
  <c r="AQ25" i="16"/>
  <c r="AP25" i="16"/>
  <c r="AO25" i="16"/>
  <c r="AN25" i="16"/>
  <c r="AW25" i="15"/>
  <c r="AV25" i="15"/>
  <c r="AU25" i="15"/>
  <c r="AT25" i="15"/>
  <c r="AS25" i="15"/>
  <c r="AR25" i="15"/>
  <c r="AQ25" i="15"/>
  <c r="AP25" i="15"/>
  <c r="AO25" i="15"/>
  <c r="AN25" i="15"/>
  <c r="AW25" i="14"/>
  <c r="AV25" i="14"/>
  <c r="AU25" i="14"/>
  <c r="AT25" i="14"/>
  <c r="AS25" i="14"/>
  <c r="AR25" i="14"/>
  <c r="AQ25" i="14"/>
  <c r="AP25" i="14"/>
  <c r="AO25" i="14"/>
  <c r="AN25" i="14"/>
  <c r="AW25" i="13"/>
  <c r="AV25" i="13"/>
  <c r="AU25" i="13"/>
  <c r="AT25" i="13"/>
  <c r="AS25" i="13"/>
  <c r="AQ25" i="13"/>
  <c r="AP25" i="13"/>
  <c r="AO25" i="13"/>
  <c r="AR25" i="13"/>
  <c r="AN25" i="13"/>
  <c r="AN25" i="9"/>
  <c r="AW25" i="9"/>
  <c r="AV25" i="9"/>
  <c r="AU25" i="9"/>
  <c r="AT25" i="9"/>
  <c r="AS25" i="9"/>
  <c r="AR25" i="9"/>
  <c r="AQ25" i="9"/>
  <c r="AP25" i="9"/>
  <c r="AO25" i="9"/>
  <c r="Z74" i="3"/>
  <c r="Z75" i="3"/>
  <c r="Z76" i="3"/>
  <c r="Z77" i="3"/>
  <c r="Z78" i="3"/>
  <c r="Z80" i="3"/>
  <c r="Z82" i="3"/>
  <c r="Z84" i="3"/>
  <c r="Z85" i="3"/>
  <c r="Z86" i="3"/>
  <c r="Z87" i="3"/>
  <c r="Z88" i="3"/>
  <c r="Z89" i="3"/>
  <c r="Z90" i="3"/>
  <c r="Z91" i="3"/>
  <c r="Z92" i="3"/>
  <c r="Z93" i="3"/>
  <c r="Z94" i="3"/>
  <c r="Z95" i="3"/>
  <c r="Z96" i="3"/>
  <c r="Z97" i="3"/>
  <c r="Z98" i="3"/>
  <c r="Z99" i="3"/>
  <c r="Z100" i="3"/>
  <c r="Z101" i="3"/>
  <c r="Z102" i="3"/>
  <c r="Z103" i="3"/>
  <c r="Z73" i="3"/>
  <c r="BD24" i="16"/>
  <c r="BE24" i="16" s="1"/>
  <c r="BD23" i="16"/>
  <c r="BE23" i="16" s="1"/>
  <c r="BD22" i="16"/>
  <c r="BE22" i="16" s="1"/>
  <c r="BD21" i="16"/>
  <c r="BE21" i="16" s="1"/>
  <c r="BD20" i="16"/>
  <c r="BE20" i="16" s="1"/>
  <c r="BD19" i="16"/>
  <c r="BE19" i="16" s="1"/>
  <c r="BD24" i="15"/>
  <c r="BE24" i="15" s="1"/>
  <c r="BD23" i="15"/>
  <c r="BE23" i="15" s="1"/>
  <c r="BD22" i="15"/>
  <c r="BE22" i="15" s="1"/>
  <c r="BD21" i="15"/>
  <c r="BE21" i="15" s="1"/>
  <c r="BD20" i="15"/>
  <c r="BE20" i="15" s="1"/>
  <c r="BD19" i="15"/>
  <c r="BE19" i="15" s="1"/>
  <c r="BD24" i="14"/>
  <c r="BE24" i="14" s="1"/>
  <c r="BD23" i="14"/>
  <c r="BE23" i="14" s="1"/>
  <c r="BD22" i="14"/>
  <c r="BE22" i="14" s="1"/>
  <c r="BD21" i="14"/>
  <c r="BE21" i="14" s="1"/>
  <c r="BD20" i="14"/>
  <c r="BE20" i="14" s="1"/>
  <c r="BD19" i="14"/>
  <c r="BE19" i="14" s="1"/>
  <c r="BD24" i="13"/>
  <c r="BE24" i="13" s="1"/>
  <c r="BD23" i="13"/>
  <c r="BE23" i="13" s="1"/>
  <c r="BD22" i="13"/>
  <c r="BE22" i="13" s="1"/>
  <c r="BD21" i="13"/>
  <c r="BE21" i="13" s="1"/>
  <c r="BD20" i="13"/>
  <c r="BE20" i="13" s="1"/>
  <c r="BD19" i="13"/>
  <c r="BE19" i="13" s="1"/>
  <c r="BD19" i="9"/>
  <c r="BS21" i="6"/>
  <c r="V30" i="13"/>
  <c r="W29" i="13"/>
  <c r="V32" i="13" s="1"/>
  <c r="J120" i="3" l="1"/>
  <c r="J119" i="3"/>
  <c r="J121" i="3"/>
  <c r="J117" i="3"/>
  <c r="J84" i="3"/>
  <c r="J118" i="3"/>
  <c r="J87" i="3"/>
  <c r="V81" i="9"/>
  <c r="W29" i="9"/>
  <c r="V30" i="9"/>
  <c r="V32" i="9" s="1"/>
  <c r="X29" i="9"/>
  <c r="BY30" i="6" a="1"/>
  <c r="BY30" i="6" s="1"/>
  <c r="BY57" i="6" s="1"/>
  <c r="BD20" i="9"/>
  <c r="BE20" i="9" s="1"/>
  <c r="BD21" i="9"/>
  <c r="BE21" i="9" s="1"/>
  <c r="BD22" i="9"/>
  <c r="BE22" i="9" s="1"/>
  <c r="BD23" i="9"/>
  <c r="BE23" i="9" s="1"/>
  <c r="BD24" i="9"/>
  <c r="BE24" i="9" s="1"/>
  <c r="BE19" i="9"/>
  <c r="AE19" i="9"/>
  <c r="J20" i="6"/>
  <c r="BZ71" i="6" l="1"/>
  <c r="CH47" i="6"/>
  <c r="CC58" i="6"/>
  <c r="BY60" i="6"/>
  <c r="BZ64" i="6"/>
  <c r="CC81" i="6"/>
  <c r="BY79" i="6"/>
  <c r="CA76" i="6"/>
  <c r="CC73" i="6"/>
  <c r="BY71" i="6"/>
  <c r="CA68" i="6"/>
  <c r="CD73" i="6"/>
  <c r="CH46" i="6"/>
  <c r="CB58" i="6"/>
  <c r="CD59" i="6"/>
  <c r="BY64" i="6"/>
  <c r="CB81" i="6"/>
  <c r="CD78" i="6"/>
  <c r="BZ76" i="6"/>
  <c r="CB73" i="6"/>
  <c r="CD70" i="6"/>
  <c r="BZ68" i="6"/>
  <c r="CB76" i="6"/>
  <c r="CH45" i="6"/>
  <c r="CA58" i="6"/>
  <c r="CC59" i="6"/>
  <c r="CD63" i="6"/>
  <c r="CA81" i="6"/>
  <c r="CC78" i="6"/>
  <c r="BY76" i="6"/>
  <c r="CA73" i="6"/>
  <c r="CC70" i="6"/>
  <c r="BY68" i="6"/>
  <c r="BZ79" i="6"/>
  <c r="CH44" i="6"/>
  <c r="BZ58" i="6"/>
  <c r="CB59" i="6"/>
  <c r="CC63" i="6"/>
  <c r="BZ81" i="6"/>
  <c r="CB78" i="6"/>
  <c r="CD75" i="6"/>
  <c r="BZ73" i="6"/>
  <c r="CB70" i="6"/>
  <c r="CD67" i="6"/>
  <c r="CH32" i="6"/>
  <c r="CH43" i="6"/>
  <c r="BY58" i="6"/>
  <c r="CA59" i="6"/>
  <c r="CB63" i="6"/>
  <c r="BY81" i="6"/>
  <c r="CA78" i="6"/>
  <c r="CC75" i="6"/>
  <c r="BY73" i="6"/>
  <c r="CA70" i="6"/>
  <c r="CC67" i="6"/>
  <c r="CB68" i="6"/>
  <c r="CH42" i="6"/>
  <c r="CD61" i="6"/>
  <c r="BZ59" i="6"/>
  <c r="CA63" i="6"/>
  <c r="CD80" i="6"/>
  <c r="BZ78" i="6"/>
  <c r="CB75" i="6"/>
  <c r="CD72" i="6"/>
  <c r="BZ70" i="6"/>
  <c r="CB67" i="6"/>
  <c r="CH48" i="6"/>
  <c r="CA64" i="6"/>
  <c r="CH31" i="6"/>
  <c r="CH41" i="6"/>
  <c r="CC61" i="6"/>
  <c r="BY59" i="6"/>
  <c r="BZ63" i="6"/>
  <c r="CC80" i="6"/>
  <c r="BY78" i="6"/>
  <c r="CA75" i="6"/>
  <c r="CC72" i="6"/>
  <c r="BY70" i="6"/>
  <c r="CA67" i="6"/>
  <c r="BZ60" i="6"/>
  <c r="CH40" i="6"/>
  <c r="CB61" i="6"/>
  <c r="CD65" i="6"/>
  <c r="BY63" i="6"/>
  <c r="CB80" i="6"/>
  <c r="CD77" i="6"/>
  <c r="BZ75" i="6"/>
  <c r="CB72" i="6"/>
  <c r="CD69" i="6"/>
  <c r="BZ67" i="6"/>
  <c r="CH39" i="6"/>
  <c r="CA61" i="6"/>
  <c r="CC65" i="6"/>
  <c r="CD62" i="6"/>
  <c r="CA80" i="6"/>
  <c r="CC77" i="6"/>
  <c r="BY75" i="6"/>
  <c r="CA72" i="6"/>
  <c r="CC69" i="6"/>
  <c r="BY67" i="6"/>
  <c r="CH54" i="6"/>
  <c r="CH38" i="6"/>
  <c r="BZ61" i="6"/>
  <c r="CB65" i="6"/>
  <c r="CC62" i="6"/>
  <c r="BZ80" i="6"/>
  <c r="CB77" i="6"/>
  <c r="CD74" i="6"/>
  <c r="BZ72" i="6"/>
  <c r="CB69" i="6"/>
  <c r="CD66" i="6"/>
  <c r="CH30" i="6"/>
  <c r="CH53" i="6"/>
  <c r="BZ57" i="6"/>
  <c r="BY61" i="6"/>
  <c r="CA65" i="6"/>
  <c r="CB62" i="6"/>
  <c r="BY80" i="6"/>
  <c r="CA77" i="6"/>
  <c r="CC74" i="6"/>
  <c r="BY72" i="6"/>
  <c r="CA69" i="6"/>
  <c r="CC66" i="6"/>
  <c r="CH33" i="6"/>
  <c r="CH37" i="6"/>
  <c r="CH52" i="6"/>
  <c r="CA57" i="6"/>
  <c r="CD60" i="6"/>
  <c r="BZ65" i="6"/>
  <c r="CA62" i="6"/>
  <c r="CD79" i="6"/>
  <c r="BZ77" i="6"/>
  <c r="CB74" i="6"/>
  <c r="CD71" i="6"/>
  <c r="BZ69" i="6"/>
  <c r="CB66" i="6"/>
  <c r="CH36" i="6"/>
  <c r="CH51" i="6"/>
  <c r="CB57" i="6"/>
  <c r="CC60" i="6"/>
  <c r="CD64" i="6"/>
  <c r="BZ62" i="6"/>
  <c r="CC79" i="6"/>
  <c r="BY77" i="6"/>
  <c r="CA74" i="6"/>
  <c r="CC71" i="6"/>
  <c r="BY69" i="6"/>
  <c r="CA66" i="6"/>
  <c r="CH35" i="6"/>
  <c r="CH50" i="6"/>
  <c r="CC57" i="6"/>
  <c r="CB60" i="6"/>
  <c r="CC64" i="6"/>
  <c r="BY62" i="6"/>
  <c r="CB79" i="6"/>
  <c r="CD76" i="6"/>
  <c r="BZ74" i="6"/>
  <c r="CB71" i="6"/>
  <c r="CD68" i="6"/>
  <c r="BZ66" i="6"/>
  <c r="CD58" i="6"/>
  <c r="CD81" i="6"/>
  <c r="CH34" i="6"/>
  <c r="CH49" i="6"/>
  <c r="CD57" i="6"/>
  <c r="CA60" i="6"/>
  <c r="CB64" i="6"/>
  <c r="BY65" i="6"/>
  <c r="CA79" i="6"/>
  <c r="CC76" i="6"/>
  <c r="BY74" i="6"/>
  <c r="CA71" i="6"/>
  <c r="CC68" i="6"/>
  <c r="BY66" i="6"/>
  <c r="X108" i="3"/>
  <c r="F93" i="9"/>
  <c r="E93" i="9"/>
  <c r="C11" i="3"/>
  <c r="C107" i="13"/>
  <c r="C107" i="14"/>
  <c r="C107" i="15"/>
  <c r="C107" i="16"/>
  <c r="C2" i="14"/>
  <c r="C2" i="15"/>
  <c r="C2" i="16"/>
  <c r="D143" i="16"/>
  <c r="E143" i="16"/>
  <c r="F143" i="16"/>
  <c r="G143" i="16"/>
  <c r="H143" i="16"/>
  <c r="I143" i="16"/>
  <c r="J143" i="16"/>
  <c r="K143" i="16"/>
  <c r="L143" i="16"/>
  <c r="M143" i="16"/>
  <c r="N143" i="16"/>
  <c r="O143" i="16"/>
  <c r="P143" i="16"/>
  <c r="Q143" i="16"/>
  <c r="R143" i="16"/>
  <c r="S143" i="16"/>
  <c r="T143" i="16"/>
  <c r="AK147" i="16"/>
  <c r="D159" i="16"/>
  <c r="E159" i="16"/>
  <c r="F159" i="16"/>
  <c r="G159" i="16"/>
  <c r="H159" i="16"/>
  <c r="I159" i="16"/>
  <c r="J159" i="16"/>
  <c r="K159" i="16"/>
  <c r="L159" i="16"/>
  <c r="M159" i="16"/>
  <c r="N159" i="16"/>
  <c r="O159" i="16"/>
  <c r="P159" i="16"/>
  <c r="Q159" i="16"/>
  <c r="R159" i="16"/>
  <c r="S159" i="16"/>
  <c r="T159" i="16"/>
  <c r="G110" i="16"/>
  <c r="D111" i="16"/>
  <c r="D116" i="16" s="1"/>
  <c r="F111" i="16"/>
  <c r="W111" i="16"/>
  <c r="D112" i="16"/>
  <c r="D117" i="16" s="1"/>
  <c r="F112" i="16"/>
  <c r="W112" i="16"/>
  <c r="W113" i="16"/>
  <c r="W114" i="16"/>
  <c r="G115" i="16"/>
  <c r="W115" i="16"/>
  <c r="F116" i="16"/>
  <c r="F117" i="16"/>
  <c r="G98" i="16"/>
  <c r="L24" i="3" s="1"/>
  <c r="D78" i="16"/>
  <c r="D96" i="16" s="1"/>
  <c r="G80" i="16"/>
  <c r="L15" i="3" s="1"/>
  <c r="G81" i="16"/>
  <c r="G82" i="16"/>
  <c r="U82" i="16" s="1"/>
  <c r="G83" i="16"/>
  <c r="U83" i="16" s="1"/>
  <c r="G84" i="16"/>
  <c r="U84" i="16" s="1"/>
  <c r="G85" i="16"/>
  <c r="G89" i="16"/>
  <c r="C90" i="16"/>
  <c r="G91" i="16"/>
  <c r="AI86" i="16" s="1"/>
  <c r="E93" i="16"/>
  <c r="F93" i="16"/>
  <c r="L19" i="16"/>
  <c r="N19" i="16"/>
  <c r="X19" i="16" s="1"/>
  <c r="V19" i="16"/>
  <c r="W19" i="16"/>
  <c r="AE19" i="16"/>
  <c r="AF19" i="16" s="1"/>
  <c r="AH19" i="16" s="1"/>
  <c r="L20" i="16"/>
  <c r="N20" i="16"/>
  <c r="X20" i="16" s="1"/>
  <c r="V20" i="16"/>
  <c r="W20" i="16"/>
  <c r="AE20" i="16"/>
  <c r="AF20" i="16" s="1"/>
  <c r="L21" i="16"/>
  <c r="N21" i="16"/>
  <c r="X21" i="16" s="1"/>
  <c r="V21" i="16"/>
  <c r="W21" i="16"/>
  <c r="AE21" i="16"/>
  <c r="AM21" i="16" s="1"/>
  <c r="BL21" i="16" s="1"/>
  <c r="L22" i="16"/>
  <c r="N22" i="16"/>
  <c r="X22" i="16" s="1"/>
  <c r="V22" i="16"/>
  <c r="W22" i="16"/>
  <c r="AE22" i="16"/>
  <c r="AF22" i="16" s="1"/>
  <c r="AH22" i="16" s="1"/>
  <c r="L23" i="16"/>
  <c r="N23" i="16"/>
  <c r="X23" i="16" s="1"/>
  <c r="V23" i="16"/>
  <c r="W23" i="16"/>
  <c r="AE23" i="16"/>
  <c r="AM23" i="16" s="1"/>
  <c r="BL23" i="16" s="1"/>
  <c r="L24" i="16"/>
  <c r="N24" i="16"/>
  <c r="X24" i="16" s="1"/>
  <c r="V24" i="16"/>
  <c r="W24" i="16"/>
  <c r="AE24" i="16"/>
  <c r="AM24" i="16" s="1"/>
  <c r="BL24" i="16" s="1"/>
  <c r="V25" i="16"/>
  <c r="W25" i="16"/>
  <c r="X25" i="16"/>
  <c r="V26" i="16"/>
  <c r="W26" i="16"/>
  <c r="X26" i="16"/>
  <c r="V27" i="16"/>
  <c r="W27" i="16"/>
  <c r="X27" i="16"/>
  <c r="AX28" i="16"/>
  <c r="AY28" i="16"/>
  <c r="AZ28" i="16" s="1"/>
  <c r="V29" i="16"/>
  <c r="W29" i="16"/>
  <c r="X29" i="16"/>
  <c r="V30" i="16"/>
  <c r="AX30" i="16"/>
  <c r="AZ30" i="16"/>
  <c r="AZ31" i="16"/>
  <c r="AF35" i="16"/>
  <c r="AF38" i="16" s="1"/>
  <c r="AE36" i="16"/>
  <c r="AF36" i="16"/>
  <c r="AM36" i="16"/>
  <c r="AE37" i="16"/>
  <c r="AE38" i="16"/>
  <c r="AN38" i="16"/>
  <c r="AO38" i="16" s="1"/>
  <c r="AE39" i="16"/>
  <c r="AN39" i="16"/>
  <c r="AS39" i="16" s="1"/>
  <c r="V40" i="16"/>
  <c r="Y40" i="16"/>
  <c r="AF40" i="16"/>
  <c r="D92" i="16" s="1"/>
  <c r="G92" i="16" s="1"/>
  <c r="AN40" i="16"/>
  <c r="AO40" i="16" s="1"/>
  <c r="AN41" i="16"/>
  <c r="AR41" i="16" s="1"/>
  <c r="AN42" i="16"/>
  <c r="AO42" i="16" s="1"/>
  <c r="AN43" i="16"/>
  <c r="AP43" i="16" s="1"/>
  <c r="AE44" i="16"/>
  <c r="AN44" i="16"/>
  <c r="AO44" i="16" s="1"/>
  <c r="C45" i="16"/>
  <c r="AE45" i="16"/>
  <c r="AN45" i="16"/>
  <c r="AO45" i="16" s="1"/>
  <c r="C46" i="16"/>
  <c r="V46" i="16"/>
  <c r="AE46" i="16"/>
  <c r="AJ46" i="16"/>
  <c r="AN46" i="16"/>
  <c r="AO46" i="16" s="1"/>
  <c r="AE47" i="16"/>
  <c r="AN47" i="16"/>
  <c r="AR47" i="16" s="1"/>
  <c r="AN48" i="16"/>
  <c r="AQ48" i="16" s="1"/>
  <c r="Z56" i="16"/>
  <c r="W59" i="16"/>
  <c r="Z54" i="16" s="1"/>
  <c r="W62" i="16"/>
  <c r="AI63" i="16"/>
  <c r="AB5" i="16"/>
  <c r="L36" i="3" s="1"/>
  <c r="AC5" i="16"/>
  <c r="M36" i="3" s="1"/>
  <c r="AB6" i="16"/>
  <c r="L37" i="3" s="1"/>
  <c r="AC6" i="16"/>
  <c r="M37" i="3" s="1"/>
  <c r="AB7" i="16"/>
  <c r="L38" i="3" s="1"/>
  <c r="AC7" i="16"/>
  <c r="M38" i="3" s="1"/>
  <c r="AB8" i="16"/>
  <c r="L39" i="3" s="1"/>
  <c r="AC8" i="16"/>
  <c r="M39" i="3" s="1"/>
  <c r="AB9" i="16"/>
  <c r="AC9" i="16"/>
  <c r="M40" i="3" s="1"/>
  <c r="D143" i="15"/>
  <c r="E143" i="15"/>
  <c r="F143" i="15"/>
  <c r="G143" i="15"/>
  <c r="H143" i="15"/>
  <c r="I143" i="15"/>
  <c r="J143" i="15"/>
  <c r="K143" i="15"/>
  <c r="L143" i="15"/>
  <c r="M143" i="15"/>
  <c r="N143" i="15"/>
  <c r="O143" i="15"/>
  <c r="P143" i="15"/>
  <c r="Q143" i="15"/>
  <c r="R143" i="15"/>
  <c r="S143" i="15"/>
  <c r="T143" i="15"/>
  <c r="AK147" i="15"/>
  <c r="D159" i="15"/>
  <c r="E159" i="15"/>
  <c r="F159" i="15"/>
  <c r="G159" i="15"/>
  <c r="H159" i="15"/>
  <c r="I159" i="15"/>
  <c r="J159" i="15"/>
  <c r="K159" i="15"/>
  <c r="L159" i="15"/>
  <c r="M159" i="15"/>
  <c r="N159" i="15"/>
  <c r="O159" i="15"/>
  <c r="P159" i="15"/>
  <c r="Q159" i="15"/>
  <c r="R159" i="15"/>
  <c r="S159" i="15"/>
  <c r="T159" i="15"/>
  <c r="G110" i="15"/>
  <c r="D111" i="15"/>
  <c r="D116" i="15" s="1"/>
  <c r="F111" i="15"/>
  <c r="W111" i="15"/>
  <c r="D112" i="15"/>
  <c r="D117" i="15" s="1"/>
  <c r="F112" i="15"/>
  <c r="W112" i="15"/>
  <c r="W113" i="15"/>
  <c r="W114" i="15"/>
  <c r="G115" i="15"/>
  <c r="W115" i="15"/>
  <c r="F116" i="15"/>
  <c r="F117" i="15"/>
  <c r="G98" i="15"/>
  <c r="J24" i="3" s="1"/>
  <c r="D78" i="15"/>
  <c r="D96" i="15" s="1"/>
  <c r="G80" i="15"/>
  <c r="J15" i="3" s="1"/>
  <c r="G81" i="15"/>
  <c r="U81" i="15" s="1"/>
  <c r="G82" i="15"/>
  <c r="U82" i="15" s="1"/>
  <c r="G83" i="15"/>
  <c r="U83" i="15" s="1"/>
  <c r="G84" i="15"/>
  <c r="U84" i="15" s="1"/>
  <c r="G85" i="15"/>
  <c r="G89" i="15"/>
  <c r="U89" i="15" s="1"/>
  <c r="C90" i="15"/>
  <c r="G91" i="15"/>
  <c r="U91" i="15" s="1"/>
  <c r="E93" i="15"/>
  <c r="F93" i="15"/>
  <c r="L19" i="15"/>
  <c r="N19" i="15"/>
  <c r="X19" i="15" s="1"/>
  <c r="V19" i="15"/>
  <c r="W19" i="15"/>
  <c r="AE19" i="15"/>
  <c r="AM19" i="15" s="1"/>
  <c r="BL19" i="15" s="1"/>
  <c r="L20" i="15"/>
  <c r="N20" i="15"/>
  <c r="X20" i="15" s="1"/>
  <c r="V20" i="15"/>
  <c r="W20" i="15"/>
  <c r="AE20" i="15"/>
  <c r="AF20" i="15" s="1"/>
  <c r="L21" i="15"/>
  <c r="N21" i="15"/>
  <c r="X21" i="15" s="1"/>
  <c r="V21" i="15"/>
  <c r="W21" i="15"/>
  <c r="AE21" i="15"/>
  <c r="AF21" i="15" s="1"/>
  <c r="L22" i="15"/>
  <c r="N22" i="15"/>
  <c r="X22" i="15" s="1"/>
  <c r="V22" i="15"/>
  <c r="W22" i="15"/>
  <c r="AE22" i="15"/>
  <c r="AM22" i="15" s="1"/>
  <c r="BL22" i="15" s="1"/>
  <c r="L23" i="15"/>
  <c r="N23" i="15"/>
  <c r="X23" i="15" s="1"/>
  <c r="V23" i="15"/>
  <c r="W23" i="15"/>
  <c r="AE23" i="15"/>
  <c r="AF23" i="15" s="1"/>
  <c r="L24" i="15"/>
  <c r="N24" i="15"/>
  <c r="X24" i="15" s="1"/>
  <c r="V24" i="15"/>
  <c r="W24" i="15"/>
  <c r="AE24" i="15"/>
  <c r="AF24" i="15" s="1"/>
  <c r="V25" i="15"/>
  <c r="W25" i="15"/>
  <c r="X25" i="15"/>
  <c r="V26" i="15"/>
  <c r="W26" i="15"/>
  <c r="X26" i="15"/>
  <c r="V27" i="15"/>
  <c r="W27" i="15"/>
  <c r="X27" i="15"/>
  <c r="AX28" i="15"/>
  <c r="AY28" i="15"/>
  <c r="AZ28" i="15" s="1"/>
  <c r="V29" i="15"/>
  <c r="W29" i="15"/>
  <c r="X29" i="15"/>
  <c r="V30" i="15"/>
  <c r="AX30" i="15"/>
  <c r="AZ30" i="15"/>
  <c r="AZ31" i="15"/>
  <c r="AF35" i="15"/>
  <c r="AE36" i="15"/>
  <c r="AM36" i="15"/>
  <c r="AE37" i="15"/>
  <c r="AE38" i="15"/>
  <c r="AN38" i="15"/>
  <c r="AE39" i="15"/>
  <c r="AN39" i="15"/>
  <c r="AT39" i="15" s="1"/>
  <c r="V40" i="15"/>
  <c r="Y40" i="15"/>
  <c r="AF40" i="15"/>
  <c r="D92" i="15" s="1"/>
  <c r="G92" i="15" s="1"/>
  <c r="AN40" i="15"/>
  <c r="AO40" i="15" s="1"/>
  <c r="AN41" i="15"/>
  <c r="AS41" i="15" s="1"/>
  <c r="AN42" i="15"/>
  <c r="AO42" i="15" s="1"/>
  <c r="AN43" i="15"/>
  <c r="AP43" i="15" s="1"/>
  <c r="AE44" i="15"/>
  <c r="AN44" i="15"/>
  <c r="AO44" i="15" s="1"/>
  <c r="C45" i="15"/>
  <c r="AE45" i="15"/>
  <c r="AN45" i="15"/>
  <c r="AP45" i="15" s="1"/>
  <c r="C46" i="15"/>
  <c r="V46" i="15"/>
  <c r="AE46" i="15"/>
  <c r="AJ46" i="15"/>
  <c r="AN46" i="15"/>
  <c r="AO46" i="15" s="1"/>
  <c r="AE47" i="15"/>
  <c r="AN47" i="15"/>
  <c r="AS47" i="15" s="1"/>
  <c r="AN48" i="15"/>
  <c r="AP48" i="15" s="1"/>
  <c r="Z56" i="15"/>
  <c r="W59" i="15"/>
  <c r="Z55" i="15" s="1"/>
  <c r="W62" i="15"/>
  <c r="AI63" i="15"/>
  <c r="AB5" i="15"/>
  <c r="J36" i="3" s="1"/>
  <c r="AC5" i="15"/>
  <c r="K36" i="3" s="1"/>
  <c r="AB6" i="15"/>
  <c r="J37" i="3" s="1"/>
  <c r="AC6" i="15"/>
  <c r="K37" i="3" s="1"/>
  <c r="AB7" i="15"/>
  <c r="J38" i="3" s="1"/>
  <c r="AC7" i="15"/>
  <c r="K38" i="3" s="1"/>
  <c r="AB8" i="15"/>
  <c r="J39" i="3" s="1"/>
  <c r="AC8" i="15"/>
  <c r="K39" i="3" s="1"/>
  <c r="AB9" i="15"/>
  <c r="AC9" i="15"/>
  <c r="K40" i="3" s="1"/>
  <c r="D143" i="14"/>
  <c r="E143" i="14"/>
  <c r="F143" i="14"/>
  <c r="G143" i="14"/>
  <c r="H143" i="14"/>
  <c r="I143" i="14"/>
  <c r="J143" i="14"/>
  <c r="K143" i="14"/>
  <c r="L143" i="14"/>
  <c r="M143" i="14"/>
  <c r="N143" i="14"/>
  <c r="O143" i="14"/>
  <c r="P143" i="14"/>
  <c r="Q143" i="14"/>
  <c r="R143" i="14"/>
  <c r="S143" i="14"/>
  <c r="T143" i="14"/>
  <c r="AK147" i="14"/>
  <c r="D159" i="14"/>
  <c r="E159" i="14"/>
  <c r="F159" i="14"/>
  <c r="G159" i="14"/>
  <c r="H159" i="14"/>
  <c r="I159" i="14"/>
  <c r="J159" i="14"/>
  <c r="K159" i="14"/>
  <c r="L159" i="14"/>
  <c r="M159" i="14"/>
  <c r="N159" i="14"/>
  <c r="O159" i="14"/>
  <c r="P159" i="14"/>
  <c r="Q159" i="14"/>
  <c r="R159" i="14"/>
  <c r="S159" i="14"/>
  <c r="T159" i="14"/>
  <c r="G110" i="14"/>
  <c r="D111" i="14"/>
  <c r="D116" i="14" s="1"/>
  <c r="F111" i="14"/>
  <c r="W111" i="14"/>
  <c r="D112" i="14"/>
  <c r="D117" i="14" s="1"/>
  <c r="F112" i="14"/>
  <c r="W112" i="14"/>
  <c r="W113" i="14"/>
  <c r="W114" i="14"/>
  <c r="G115" i="14"/>
  <c r="W115" i="14"/>
  <c r="F116" i="14"/>
  <c r="F117" i="14"/>
  <c r="G98" i="14"/>
  <c r="H24" i="3" s="1"/>
  <c r="D78" i="14"/>
  <c r="D96" i="14" s="1"/>
  <c r="G80" i="14"/>
  <c r="H15" i="3" s="1"/>
  <c r="G81" i="14"/>
  <c r="AI81" i="14" s="1"/>
  <c r="G82" i="14"/>
  <c r="G83" i="14"/>
  <c r="U83" i="14" s="1"/>
  <c r="G84" i="14"/>
  <c r="G85" i="14"/>
  <c r="G89" i="14"/>
  <c r="U89" i="14" s="1"/>
  <c r="C90" i="14"/>
  <c r="G91" i="14"/>
  <c r="H21" i="3" s="1"/>
  <c r="E93" i="14"/>
  <c r="F93" i="14"/>
  <c r="L19" i="14"/>
  <c r="N19" i="14"/>
  <c r="X19" i="14" s="1"/>
  <c r="V19" i="14"/>
  <c r="W19" i="14"/>
  <c r="AE19" i="14"/>
  <c r="AF19" i="14" s="1"/>
  <c r="L20" i="14"/>
  <c r="N20" i="14"/>
  <c r="X20" i="14" s="1"/>
  <c r="V20" i="14"/>
  <c r="W20" i="14"/>
  <c r="AE20" i="14"/>
  <c r="AF20" i="14" s="1"/>
  <c r="L21" i="14"/>
  <c r="N21" i="14"/>
  <c r="X21" i="14" s="1"/>
  <c r="V21" i="14"/>
  <c r="W21" i="14"/>
  <c r="AE21" i="14"/>
  <c r="AF21" i="14" s="1"/>
  <c r="AH21" i="14" s="1"/>
  <c r="AT21" i="14" s="1"/>
  <c r="L22" i="14"/>
  <c r="N22" i="14"/>
  <c r="X22" i="14" s="1"/>
  <c r="V22" i="14"/>
  <c r="W22" i="14"/>
  <c r="AE22" i="14"/>
  <c r="AF22" i="14" s="1"/>
  <c r="AH22" i="14" s="1"/>
  <c r="AO22" i="14" s="1"/>
  <c r="AM22" i="14"/>
  <c r="BL22" i="14" s="1"/>
  <c r="L23" i="14"/>
  <c r="N23" i="14"/>
  <c r="X23" i="14" s="1"/>
  <c r="V23" i="14"/>
  <c r="W23" i="14"/>
  <c r="AE23" i="14"/>
  <c r="AF23" i="14" s="1"/>
  <c r="L24" i="14"/>
  <c r="N24" i="14"/>
  <c r="X24" i="14" s="1"/>
  <c r="V24" i="14"/>
  <c r="W24" i="14"/>
  <c r="AE24" i="14"/>
  <c r="AF24" i="14" s="1"/>
  <c r="AH24" i="14" s="1"/>
  <c r="AT24" i="14" s="1"/>
  <c r="V25" i="14"/>
  <c r="W25" i="14"/>
  <c r="X25" i="14"/>
  <c r="V26" i="14"/>
  <c r="W26" i="14"/>
  <c r="X26" i="14"/>
  <c r="V27" i="14"/>
  <c r="W27" i="14"/>
  <c r="X27" i="14"/>
  <c r="AX28" i="14"/>
  <c r="AY28" i="14"/>
  <c r="AZ28" i="14" s="1"/>
  <c r="V29" i="14"/>
  <c r="W29" i="14"/>
  <c r="V32" i="14" s="1"/>
  <c r="X29" i="14"/>
  <c r="V30" i="14"/>
  <c r="AX30" i="14"/>
  <c r="AZ30" i="14" s="1"/>
  <c r="AZ31" i="14"/>
  <c r="AF35" i="14"/>
  <c r="AF38" i="14" s="1"/>
  <c r="AE36" i="14"/>
  <c r="AM36" i="14"/>
  <c r="AE37" i="14"/>
  <c r="AE38" i="14"/>
  <c r="AN38" i="14"/>
  <c r="AP38" i="14" s="1"/>
  <c r="AE39" i="14"/>
  <c r="AN39" i="14"/>
  <c r="AO39" i="14" s="1"/>
  <c r="V40" i="14"/>
  <c r="Y40" i="14"/>
  <c r="AF40" i="14"/>
  <c r="D92" i="14" s="1"/>
  <c r="G92" i="14" s="1"/>
  <c r="AN40" i="14"/>
  <c r="AO40" i="14" s="1"/>
  <c r="AN41" i="14"/>
  <c r="AT41" i="14" s="1"/>
  <c r="AN42" i="14"/>
  <c r="AO42" i="14" s="1"/>
  <c r="AN43" i="14"/>
  <c r="AR43" i="14" s="1"/>
  <c r="AE44" i="14"/>
  <c r="AN44" i="14"/>
  <c r="AT44" i="14" s="1"/>
  <c r="C45" i="14"/>
  <c r="AE45" i="14"/>
  <c r="AN45" i="14"/>
  <c r="AP45" i="14" s="1"/>
  <c r="C46" i="14"/>
  <c r="V46" i="14"/>
  <c r="AE46" i="14"/>
  <c r="AJ46" i="14"/>
  <c r="AN46" i="14"/>
  <c r="AO46" i="14" s="1"/>
  <c r="AE47" i="14"/>
  <c r="AN47" i="14"/>
  <c r="AP47" i="14" s="1"/>
  <c r="AN48" i="14"/>
  <c r="AS48" i="14" s="1"/>
  <c r="Z56" i="14"/>
  <c r="W59" i="14"/>
  <c r="Z54" i="14" s="1"/>
  <c r="W62" i="14"/>
  <c r="AI63" i="14"/>
  <c r="AB5" i="14"/>
  <c r="H36" i="3" s="1"/>
  <c r="AC5" i="14"/>
  <c r="I36" i="3" s="1"/>
  <c r="AB6" i="14"/>
  <c r="H37" i="3" s="1"/>
  <c r="AC6" i="14"/>
  <c r="I37" i="3" s="1"/>
  <c r="AB7" i="14"/>
  <c r="H38" i="3" s="1"/>
  <c r="AC7" i="14"/>
  <c r="I38" i="3" s="1"/>
  <c r="AB8" i="14"/>
  <c r="H39" i="3" s="1"/>
  <c r="AC8" i="14"/>
  <c r="I39" i="3" s="1"/>
  <c r="AB9" i="14"/>
  <c r="AC9" i="14"/>
  <c r="I40" i="3" s="1"/>
  <c r="V32" i="15" l="1"/>
  <c r="W32" i="15"/>
  <c r="AS44" i="16"/>
  <c r="U89" i="16"/>
  <c r="U81" i="16"/>
  <c r="AO43" i="15"/>
  <c r="AR44" i="16"/>
  <c r="U80" i="15"/>
  <c r="AM22" i="16"/>
  <c r="BL22" i="16" s="1"/>
  <c r="U80" i="14"/>
  <c r="AT41" i="15"/>
  <c r="AM19" i="16"/>
  <c r="BL19" i="16" s="1"/>
  <c r="AI80" i="15"/>
  <c r="U91" i="16"/>
  <c r="AF21" i="16"/>
  <c r="AJ21" i="16" s="1"/>
  <c r="BA21" i="16" s="1"/>
  <c r="AT38" i="16"/>
  <c r="AK20" i="15"/>
  <c r="BB20" i="15" s="1"/>
  <c r="AI20" i="15"/>
  <c r="AP20" i="15" s="1"/>
  <c r="AT40" i="15"/>
  <c r="AO47" i="16"/>
  <c r="AM23" i="14"/>
  <c r="BL23" i="14" s="1"/>
  <c r="AI80" i="14"/>
  <c r="AS40" i="15"/>
  <c r="AR40" i="15"/>
  <c r="AO39" i="16"/>
  <c r="AJ22" i="14"/>
  <c r="BA22" i="14" s="1"/>
  <c r="AI22" i="14"/>
  <c r="AU22" i="14" s="1"/>
  <c r="AS38" i="16"/>
  <c r="AI86" i="15"/>
  <c r="AM20" i="15"/>
  <c r="BL20" i="15" s="1"/>
  <c r="AT44" i="16"/>
  <c r="J21" i="3"/>
  <c r="AQ44" i="16"/>
  <c r="AF24" i="16"/>
  <c r="AJ24" i="16" s="1"/>
  <c r="BA24" i="16" s="1"/>
  <c r="AQ40" i="15"/>
  <c r="AM21" i="14"/>
  <c r="BL21" i="14" s="1"/>
  <c r="AK21" i="14"/>
  <c r="AR21" i="14" s="1"/>
  <c r="AM23" i="15"/>
  <c r="BL23" i="15" s="1"/>
  <c r="AR41" i="15"/>
  <c r="AQ41" i="16"/>
  <c r="AM20" i="16"/>
  <c r="BL20" i="16" s="1"/>
  <c r="AQ41" i="15"/>
  <c r="AQ47" i="16"/>
  <c r="AP41" i="16"/>
  <c r="AF23" i="16"/>
  <c r="BI23" i="16" s="1"/>
  <c r="AP47" i="16"/>
  <c r="AO41" i="16"/>
  <c r="L16" i="3"/>
  <c r="AS45" i="15"/>
  <c r="AR45" i="15"/>
  <c r="AR39" i="16"/>
  <c r="AQ45" i="15"/>
  <c r="AQ39" i="16"/>
  <c r="AI81" i="16"/>
  <c r="U91" i="14"/>
  <c r="AO45" i="15"/>
  <c r="AS45" i="16"/>
  <c r="AP39" i="16"/>
  <c r="AP41" i="15"/>
  <c r="AO41" i="15"/>
  <c r="AI81" i="15"/>
  <c r="AP44" i="16"/>
  <c r="AF39" i="16"/>
  <c r="AT46" i="16"/>
  <c r="AS39" i="15"/>
  <c r="AS46" i="16"/>
  <c r="AR38" i="16"/>
  <c r="AI80" i="16"/>
  <c r="AR39" i="15"/>
  <c r="AR46" i="16"/>
  <c r="U80" i="16"/>
  <c r="AQ46" i="16"/>
  <c r="AT41" i="16"/>
  <c r="AT43" i="15"/>
  <c r="AP46" i="16"/>
  <c r="AS41" i="16"/>
  <c r="AS43" i="15"/>
  <c r="X67" i="14"/>
  <c r="X68" i="14"/>
  <c r="Z53" i="14"/>
  <c r="Z53" i="16"/>
  <c r="X68" i="16"/>
  <c r="X67" i="16"/>
  <c r="X69" i="16" s="1"/>
  <c r="V86" i="16" s="1"/>
  <c r="AM24" i="15"/>
  <c r="BL24" i="15" s="1"/>
  <c r="AP48" i="16"/>
  <c r="AT45" i="16"/>
  <c r="AO43" i="16"/>
  <c r="J16" i="3"/>
  <c r="AR45" i="16"/>
  <c r="AT42" i="16"/>
  <c r="AT47" i="16"/>
  <c r="AQ45" i="16"/>
  <c r="AS42" i="16"/>
  <c r="BH24" i="16"/>
  <c r="AJ19" i="16"/>
  <c r="BA19" i="16" s="1"/>
  <c r="BI19" i="16"/>
  <c r="BH19" i="16"/>
  <c r="BG19" i="16"/>
  <c r="BJ19" i="16"/>
  <c r="BF19" i="16"/>
  <c r="AG20" i="15"/>
  <c r="AS20" i="15" s="1"/>
  <c r="BG20" i="15"/>
  <c r="BJ20" i="15"/>
  <c r="BI20" i="15"/>
  <c r="BH20" i="15"/>
  <c r="BF20" i="15"/>
  <c r="AS47" i="16"/>
  <c r="AP45" i="16"/>
  <c r="AR42" i="16"/>
  <c r="AT39" i="16"/>
  <c r="BJ21" i="14"/>
  <c r="BI21" i="14"/>
  <c r="BH21" i="14"/>
  <c r="BG21" i="14"/>
  <c r="BF21" i="14"/>
  <c r="AT45" i="15"/>
  <c r="AQ42" i="16"/>
  <c r="L21" i="3"/>
  <c r="AP42" i="16"/>
  <c r="AH20" i="14"/>
  <c r="AT20" i="14" s="1"/>
  <c r="BJ20" i="14"/>
  <c r="BG20" i="14"/>
  <c r="BF20" i="14"/>
  <c r="BI20" i="14"/>
  <c r="BH20" i="14"/>
  <c r="AP40" i="15"/>
  <c r="AG21" i="16"/>
  <c r="AS21" i="16" s="1"/>
  <c r="BJ21" i="16"/>
  <c r="BI21" i="16"/>
  <c r="BH21" i="16"/>
  <c r="BG21" i="16"/>
  <c r="BF21" i="16"/>
  <c r="Z55" i="14"/>
  <c r="BJ23" i="15"/>
  <c r="BI23" i="15"/>
  <c r="BH23" i="15"/>
  <c r="BF23" i="15"/>
  <c r="BG23" i="15"/>
  <c r="H17" i="3"/>
  <c r="AO48" i="16"/>
  <c r="AI86" i="14"/>
  <c r="BJ23" i="14"/>
  <c r="BI23" i="14"/>
  <c r="BH23" i="14"/>
  <c r="BG23" i="14"/>
  <c r="BF23" i="14"/>
  <c r="BF24" i="15"/>
  <c r="BH24" i="15"/>
  <c r="BJ24" i="15"/>
  <c r="BG24" i="15"/>
  <c r="BI24" i="15"/>
  <c r="AF39" i="14"/>
  <c r="Z55" i="16"/>
  <c r="AG20" i="16"/>
  <c r="AS20" i="16" s="1"/>
  <c r="BI20" i="16"/>
  <c r="BG20" i="16"/>
  <c r="BF20" i="16"/>
  <c r="BJ20" i="16"/>
  <c r="BH20" i="16"/>
  <c r="AT40" i="16"/>
  <c r="AQ38" i="16"/>
  <c r="AP46" i="14"/>
  <c r="AK22" i="14"/>
  <c r="AW22" i="14" s="1"/>
  <c r="BG22" i="14"/>
  <c r="BI22" i="14"/>
  <c r="BH22" i="14"/>
  <c r="BF22" i="14"/>
  <c r="BJ22" i="14"/>
  <c r="AT46" i="15"/>
  <c r="AR43" i="15"/>
  <c r="AQ39" i="15"/>
  <c r="AM21" i="15"/>
  <c r="BL21" i="15" s="1"/>
  <c r="AT43" i="16"/>
  <c r="AS40" i="16"/>
  <c r="AP38" i="16"/>
  <c r="AJ41" i="16"/>
  <c r="AI54" i="16" s="1"/>
  <c r="AS46" i="15"/>
  <c r="AQ43" i="15"/>
  <c r="BF21" i="15"/>
  <c r="BJ21" i="15"/>
  <c r="BH21" i="15"/>
  <c r="BI21" i="15"/>
  <c r="BG21" i="15"/>
  <c r="AT48" i="16"/>
  <c r="AS43" i="16"/>
  <c r="AR40" i="16"/>
  <c r="BI24" i="14"/>
  <c r="BG24" i="14"/>
  <c r="BF24" i="14"/>
  <c r="BJ24" i="14"/>
  <c r="BH24" i="14"/>
  <c r="AQ40" i="16"/>
  <c r="AR48" i="16"/>
  <c r="AQ43" i="16"/>
  <c r="AP40" i="16"/>
  <c r="AJ22" i="16"/>
  <c r="AQ22" i="16" s="1"/>
  <c r="BJ22" i="16"/>
  <c r="BF22" i="16"/>
  <c r="BI22" i="16"/>
  <c r="BH22" i="16"/>
  <c r="BG22" i="16"/>
  <c r="AM24" i="14"/>
  <c r="BL24" i="14" s="1"/>
  <c r="AR46" i="15"/>
  <c r="AS48" i="16"/>
  <c r="AR43" i="16"/>
  <c r="AF36" i="14"/>
  <c r="AK24" i="14"/>
  <c r="BB24" i="14" s="1"/>
  <c r="AJ41" i="14"/>
  <c r="AI54" i="14" s="1"/>
  <c r="AQ46" i="15"/>
  <c r="AI24" i="14"/>
  <c r="AZ24" i="14" s="1"/>
  <c r="AP46" i="15"/>
  <c r="AR42" i="14"/>
  <c r="AQ43" i="14"/>
  <c r="AQ42" i="14"/>
  <c r="AT45" i="14"/>
  <c r="AS45" i="14"/>
  <c r="AR45" i="14"/>
  <c r="AT39" i="14"/>
  <c r="AS39" i="14"/>
  <c r="AQ45" i="14"/>
  <c r="AT47" i="14"/>
  <c r="AP44" i="14"/>
  <c r="AQ39" i="14"/>
  <c r="AO44" i="14"/>
  <c r="AP39" i="14"/>
  <c r="AG19" i="14"/>
  <c r="AS19" i="14" s="1"/>
  <c r="BG19" i="14"/>
  <c r="BH19" i="14"/>
  <c r="BJ19" i="14"/>
  <c r="BI19" i="14"/>
  <c r="BF19" i="14"/>
  <c r="AO43" i="14"/>
  <c r="AO45" i="14"/>
  <c r="AS41" i="14"/>
  <c r="AR41" i="14"/>
  <c r="AT38" i="14"/>
  <c r="AT46" i="14"/>
  <c r="AS46" i="14"/>
  <c r="AQ41" i="14"/>
  <c r="AR46" i="14"/>
  <c r="AP41" i="14"/>
  <c r="AS38" i="14"/>
  <c r="AQ46" i="14"/>
  <c r="AO41" i="14"/>
  <c r="AR38" i="14"/>
  <c r="AM19" i="14"/>
  <c r="BL19" i="14" s="1"/>
  <c r="AQ48" i="14"/>
  <c r="AQ38" i="14"/>
  <c r="AI19" i="14"/>
  <c r="AU19" i="14" s="1"/>
  <c r="AT40" i="14"/>
  <c r="AO38" i="14"/>
  <c r="AH19" i="14"/>
  <c r="AO19" i="14" s="1"/>
  <c r="AT43" i="14"/>
  <c r="AJ37" i="14"/>
  <c r="AH23" i="15"/>
  <c r="AO23" i="15" s="1"/>
  <c r="AG23" i="15"/>
  <c r="AS23" i="15" s="1"/>
  <c r="AI23" i="15"/>
  <c r="AP23" i="15" s="1"/>
  <c r="AJ23" i="15"/>
  <c r="BA23" i="15" s="1"/>
  <c r="AK23" i="15"/>
  <c r="BB23" i="15" s="1"/>
  <c r="AJ24" i="15"/>
  <c r="AV24" i="15" s="1"/>
  <c r="AH24" i="15"/>
  <c r="AY24" i="15" s="1"/>
  <c r="AJ21" i="15"/>
  <c r="AV21" i="15" s="1"/>
  <c r="AH21" i="15"/>
  <c r="AO21" i="15" s="1"/>
  <c r="AF19" i="15"/>
  <c r="AI19" i="15" s="1"/>
  <c r="AO39" i="15"/>
  <c r="AJ20" i="15"/>
  <c r="BA20" i="15" s="1"/>
  <c r="AO48" i="15"/>
  <c r="AH20" i="15"/>
  <c r="AO20" i="15" s="1"/>
  <c r="AF22" i="15"/>
  <c r="AS42" i="15"/>
  <c r="AT44" i="15"/>
  <c r="AR42" i="15"/>
  <c r="AS44" i="15"/>
  <c r="AQ42" i="15"/>
  <c r="AP39" i="15"/>
  <c r="AR44" i="15"/>
  <c r="AP42" i="15"/>
  <c r="AT42" i="15"/>
  <c r="AT48" i="15"/>
  <c r="AS48" i="15"/>
  <c r="AQ44" i="15"/>
  <c r="AR48" i="15"/>
  <c r="AP44" i="15"/>
  <c r="AQ47" i="15"/>
  <c r="AQ48" i="15"/>
  <c r="AE48" i="15"/>
  <c r="D87" i="15" s="1"/>
  <c r="G87" i="15" s="1"/>
  <c r="AE48" i="16"/>
  <c r="AT22" i="14"/>
  <c r="AE48" i="14"/>
  <c r="D87" i="14" s="1"/>
  <c r="G87" i="14" s="1"/>
  <c r="V81" i="16"/>
  <c r="H81" i="16" s="1"/>
  <c r="V81" i="15"/>
  <c r="H81" i="15" s="1"/>
  <c r="AX29" i="14"/>
  <c r="AX31" i="14" s="1"/>
  <c r="AX32" i="14" s="1"/>
  <c r="D99" i="14" s="1"/>
  <c r="AX29" i="16"/>
  <c r="AX31" i="16" s="1"/>
  <c r="AX33" i="16" s="1"/>
  <c r="AX29" i="15"/>
  <c r="AX31" i="15" s="1"/>
  <c r="AX32" i="15" s="1"/>
  <c r="D99" i="15" s="1"/>
  <c r="AO24" i="14"/>
  <c r="AJ23" i="14"/>
  <c r="AK23" i="14"/>
  <c r="AI23" i="14"/>
  <c r="AG23" i="14"/>
  <c r="AH23" i="14"/>
  <c r="AJ42" i="14"/>
  <c r="AR48" i="14"/>
  <c r="AQ44" i="14"/>
  <c r="AS42" i="14"/>
  <c r="AI82" i="14"/>
  <c r="AJ36" i="16"/>
  <c r="AI82" i="16"/>
  <c r="L17" i="3"/>
  <c r="AJ34" i="14"/>
  <c r="AJ38" i="14"/>
  <c r="AP48" i="14"/>
  <c r="AR40" i="14"/>
  <c r="V81" i="14"/>
  <c r="AJ81" i="14" s="1"/>
  <c r="AK81" i="14" s="1"/>
  <c r="U81" i="14"/>
  <c r="H16" i="3"/>
  <c r="AO48" i="14"/>
  <c r="AP42" i="14"/>
  <c r="AQ40" i="14"/>
  <c r="AJ39" i="14"/>
  <c r="AG21" i="14"/>
  <c r="AI21" i="14"/>
  <c r="AJ21" i="14"/>
  <c r="AM20" i="14"/>
  <c r="BL20" i="14" s="1"/>
  <c r="AF36" i="15"/>
  <c r="AF39" i="15"/>
  <c r="AF38" i="15"/>
  <c r="AJ36" i="15"/>
  <c r="AJ41" i="15"/>
  <c r="AJ37" i="15"/>
  <c r="AJ40" i="15"/>
  <c r="AJ43" i="15"/>
  <c r="AJ39" i="15"/>
  <c r="AJ34" i="15"/>
  <c r="AJ38" i="15"/>
  <c r="AJ35" i="15"/>
  <c r="AY19" i="16"/>
  <c r="AO19" i="16"/>
  <c r="AT19" i="16"/>
  <c r="U84" i="14"/>
  <c r="AP40" i="14"/>
  <c r="AS40" i="14"/>
  <c r="AJ36" i="14"/>
  <c r="AJ20" i="14"/>
  <c r="AK20" i="14"/>
  <c r="AG20" i="14"/>
  <c r="AI20" i="14"/>
  <c r="AY21" i="14"/>
  <c r="J17" i="3"/>
  <c r="AI82" i="15"/>
  <c r="AJ40" i="14"/>
  <c r="AJ35" i="14"/>
  <c r="AJ19" i="14"/>
  <c r="AK19" i="14"/>
  <c r="AJ42" i="15"/>
  <c r="AY22" i="16"/>
  <c r="AO22" i="16"/>
  <c r="AT22" i="16"/>
  <c r="AJ37" i="16"/>
  <c r="AJ40" i="16"/>
  <c r="AJ43" i="16"/>
  <c r="AJ39" i="16"/>
  <c r="AJ34" i="16"/>
  <c r="AJ38" i="16"/>
  <c r="AJ42" i="16"/>
  <c r="AJ35" i="16"/>
  <c r="AP43" i="14"/>
  <c r="AS43" i="14"/>
  <c r="AY24" i="14"/>
  <c r="AG24" i="14"/>
  <c r="AJ24" i="14"/>
  <c r="AG22" i="14"/>
  <c r="AW21" i="14"/>
  <c r="BB21" i="14"/>
  <c r="AS47" i="14"/>
  <c r="AJ43" i="14"/>
  <c r="AO21" i="14"/>
  <c r="U82" i="14"/>
  <c r="AP38" i="15"/>
  <c r="AQ38" i="15"/>
  <c r="AR38" i="15"/>
  <c r="AS38" i="15"/>
  <c r="AT38" i="15"/>
  <c r="AO38" i="15"/>
  <c r="AR47" i="14"/>
  <c r="AQ47" i="14"/>
  <c r="AS44" i="14"/>
  <c r="AT48" i="14"/>
  <c r="AO47" i="14"/>
  <c r="AR44" i="14"/>
  <c r="AT42" i="14"/>
  <c r="AY22" i="14"/>
  <c r="Z54" i="15"/>
  <c r="AR47" i="15"/>
  <c r="AI24" i="15"/>
  <c r="AI21" i="15"/>
  <c r="AI22" i="16"/>
  <c r="AI19" i="16"/>
  <c r="AP47" i="15"/>
  <c r="AG24" i="15"/>
  <c r="AG21" i="15"/>
  <c r="AG22" i="16"/>
  <c r="AK21" i="16"/>
  <c r="AG19" i="16"/>
  <c r="AO47" i="15"/>
  <c r="AI24" i="16"/>
  <c r="AI21" i="16"/>
  <c r="AH24" i="16"/>
  <c r="AH21" i="16"/>
  <c r="AK20" i="16"/>
  <c r="AR39" i="14"/>
  <c r="AJ20" i="16"/>
  <c r="AI20" i="16"/>
  <c r="AQ24" i="16"/>
  <c r="AQ21" i="16"/>
  <c r="AH20" i="16"/>
  <c r="AT47" i="15"/>
  <c r="AK24" i="15"/>
  <c r="AK21" i="15"/>
  <c r="AK22" i="16"/>
  <c r="AK19" i="16"/>
  <c r="D87" i="16" l="1"/>
  <c r="G87" i="16" s="1"/>
  <c r="AV21" i="16"/>
  <c r="AV24" i="16"/>
  <c r="AZ22" i="14"/>
  <c r="AK23" i="16"/>
  <c r="AU20" i="15"/>
  <c r="AP24" i="14"/>
  <c r="AK24" i="16"/>
  <c r="AR24" i="16" s="1"/>
  <c r="BF24" i="16"/>
  <c r="AV22" i="14"/>
  <c r="AH23" i="16"/>
  <c r="AT23" i="16" s="1"/>
  <c r="AW20" i="15"/>
  <c r="AP22" i="14"/>
  <c r="AQ22" i="14"/>
  <c r="AI23" i="16"/>
  <c r="AP23" i="16" s="1"/>
  <c r="AR20" i="15"/>
  <c r="AZ20" i="15"/>
  <c r="AJ23" i="16"/>
  <c r="AQ23" i="16" s="1"/>
  <c r="AW24" i="14"/>
  <c r="AP19" i="14"/>
  <c r="AO49" i="16"/>
  <c r="AO50" i="16" s="1"/>
  <c r="BF23" i="16"/>
  <c r="BJ23" i="16"/>
  <c r="BH23" i="16"/>
  <c r="BG23" i="16"/>
  <c r="AG23" i="16"/>
  <c r="AS23" i="16" s="1"/>
  <c r="AR24" i="14"/>
  <c r="AV23" i="15"/>
  <c r="BG24" i="16"/>
  <c r="AQ23" i="15"/>
  <c r="BI24" i="16"/>
  <c r="BJ24" i="16"/>
  <c r="AG24" i="16"/>
  <c r="AN20" i="15"/>
  <c r="AY20" i="14"/>
  <c r="AO20" i="14"/>
  <c r="AV19" i="16"/>
  <c r="AJ54" i="14"/>
  <c r="AT49" i="16"/>
  <c r="AT50" i="16" s="1"/>
  <c r="AQ49" i="16"/>
  <c r="AQ50" i="16" s="1"/>
  <c r="V90" i="16" s="1"/>
  <c r="AJ84" i="16" s="1"/>
  <c r="AQ19" i="16"/>
  <c r="AR49" i="16"/>
  <c r="AR50" i="16" s="1"/>
  <c r="AS49" i="16"/>
  <c r="AS50" i="16" s="1"/>
  <c r="AQ20" i="15"/>
  <c r="AZ23" i="15"/>
  <c r="AJ19" i="15"/>
  <c r="BA19" i="15" s="1"/>
  <c r="BB22" i="14"/>
  <c r="AV20" i="15"/>
  <c r="AP49" i="16"/>
  <c r="AP50" i="16" s="1"/>
  <c r="AU24" i="14"/>
  <c r="AR22" i="14"/>
  <c r="BN22" i="16"/>
  <c r="BM22" i="16"/>
  <c r="AU23" i="15"/>
  <c r="AN23" i="15"/>
  <c r="BN21" i="14"/>
  <c r="BM21" i="14"/>
  <c r="BN23" i="15"/>
  <c r="BM23" i="15"/>
  <c r="BN21" i="16"/>
  <c r="BM21" i="16"/>
  <c r="BA21" i="15"/>
  <c r="AT23" i="15"/>
  <c r="BN22" i="14"/>
  <c r="BM22" i="14"/>
  <c r="BN24" i="15"/>
  <c r="BM24" i="15"/>
  <c r="BN24" i="14"/>
  <c r="BM24" i="14"/>
  <c r="AW23" i="15"/>
  <c r="BA22" i="16"/>
  <c r="AY23" i="15"/>
  <c r="BN20" i="14"/>
  <c r="BM20" i="14"/>
  <c r="BA24" i="15"/>
  <c r="BJ22" i="15"/>
  <c r="BI22" i="15"/>
  <c r="BH22" i="15"/>
  <c r="BG22" i="15"/>
  <c r="BF22" i="15"/>
  <c r="BN19" i="16"/>
  <c r="BM19" i="16"/>
  <c r="AR23" i="15"/>
  <c r="AX20" i="15"/>
  <c r="AN21" i="16"/>
  <c r="AO24" i="15"/>
  <c r="AQ24" i="15"/>
  <c r="AO49" i="14"/>
  <c r="AO50" i="14" s="1"/>
  <c r="AX21" i="16"/>
  <c r="AN20" i="16"/>
  <c r="Y67" i="16"/>
  <c r="Y68" i="16"/>
  <c r="AV22" i="16"/>
  <c r="AX23" i="15"/>
  <c r="AX20" i="16"/>
  <c r="AJ54" i="16"/>
  <c r="BN21" i="15"/>
  <c r="BM21" i="15"/>
  <c r="BO21" i="15" s="1"/>
  <c r="BM20" i="16"/>
  <c r="BN20" i="16"/>
  <c r="Y68" i="14"/>
  <c r="Y67" i="14"/>
  <c r="BN23" i="14"/>
  <c r="BM23" i="14"/>
  <c r="AT24" i="15"/>
  <c r="AQ21" i="15"/>
  <c r="BN20" i="15"/>
  <c r="BM20" i="15"/>
  <c r="AJ81" i="15"/>
  <c r="AK81" i="15" s="1"/>
  <c r="AY21" i="15"/>
  <c r="BF19" i="15"/>
  <c r="BH19" i="15"/>
  <c r="BJ19" i="15"/>
  <c r="BI19" i="15"/>
  <c r="BG19" i="15"/>
  <c r="X69" i="14"/>
  <c r="V86" i="14" s="1"/>
  <c r="AN19" i="14"/>
  <c r="AX19" i="14"/>
  <c r="BN19" i="14"/>
  <c r="BM19" i="14"/>
  <c r="AZ19" i="14"/>
  <c r="AT19" i="14"/>
  <c r="AY19" i="14"/>
  <c r="AG22" i="15"/>
  <c r="AK22" i="15"/>
  <c r="AH22" i="15"/>
  <c r="AQ49" i="15"/>
  <c r="AQ50" i="15" s="1"/>
  <c r="AG19" i="15"/>
  <c r="AH19" i="15"/>
  <c r="AK19" i="15"/>
  <c r="AT20" i="15"/>
  <c r="AI22" i="15"/>
  <c r="AP22" i="15" s="1"/>
  <c r="AS49" i="15"/>
  <c r="AS50" i="15" s="1"/>
  <c r="AJ22" i="15"/>
  <c r="AQ22" i="15" s="1"/>
  <c r="AT21" i="15"/>
  <c r="AY20" i="15"/>
  <c r="AX33" i="14"/>
  <c r="AZ33" i="14"/>
  <c r="AT49" i="14"/>
  <c r="AT50" i="14" s="1"/>
  <c r="AP49" i="14"/>
  <c r="AP50" i="14" s="1"/>
  <c r="AJ81" i="16"/>
  <c r="AK81" i="16" s="1"/>
  <c r="AP49" i="15"/>
  <c r="AP50" i="15" s="1"/>
  <c r="H81" i="14"/>
  <c r="AY33" i="14"/>
  <c r="BA33" i="14"/>
  <c r="AZ33" i="16"/>
  <c r="BA33" i="15"/>
  <c r="AZ33" i="15"/>
  <c r="AY33" i="16"/>
  <c r="AX32" i="16"/>
  <c r="D99" i="16" s="1"/>
  <c r="AY33" i="15"/>
  <c r="AX33" i="15"/>
  <c r="BA33" i="16"/>
  <c r="AJ48" i="14"/>
  <c r="AI56" i="14" s="1"/>
  <c r="AJ48" i="15"/>
  <c r="AI56" i="15" s="1"/>
  <c r="AJ48" i="16"/>
  <c r="AI58" i="16" s="1"/>
  <c r="AC42" i="3" s="1"/>
  <c r="BA23" i="14"/>
  <c r="AV23" i="14"/>
  <c r="AQ23" i="14"/>
  <c r="AX22" i="16"/>
  <c r="AN22" i="16"/>
  <c r="AS22" i="16"/>
  <c r="AP21" i="16"/>
  <c r="AU21" i="16"/>
  <c r="AZ21" i="16"/>
  <c r="AI52" i="16"/>
  <c r="AJ52" i="16"/>
  <c r="AV20" i="16"/>
  <c r="BA20" i="16"/>
  <c r="AQ20" i="16"/>
  <c r="AX21" i="15"/>
  <c r="AN21" i="15"/>
  <c r="AS21" i="15"/>
  <c r="AI50" i="16"/>
  <c r="AJ50" i="16"/>
  <c r="AJ51" i="14"/>
  <c r="AI51" i="14"/>
  <c r="AI53" i="15"/>
  <c r="AJ53" i="15"/>
  <c r="AI52" i="14"/>
  <c r="AJ52" i="14"/>
  <c r="AJ55" i="14"/>
  <c r="AI55" i="14"/>
  <c r="AI50" i="15"/>
  <c r="AJ50" i="15" s="1"/>
  <c r="AP24" i="16"/>
  <c r="AU24" i="16"/>
  <c r="AZ24" i="16"/>
  <c r="AR49" i="14"/>
  <c r="AR50" i="14" s="1"/>
  <c r="AZ24" i="15"/>
  <c r="AP24" i="15"/>
  <c r="AU24" i="15"/>
  <c r="AV21" i="14"/>
  <c r="AQ21" i="14"/>
  <c r="BA21" i="14"/>
  <c r="AI50" i="14"/>
  <c r="AJ50" i="14" s="1"/>
  <c r="AT20" i="16"/>
  <c r="AY20" i="16"/>
  <c r="AO20" i="16"/>
  <c r="AW20" i="16"/>
  <c r="BB20" i="16"/>
  <c r="AR20" i="16"/>
  <c r="AX24" i="15"/>
  <c r="AN24" i="15"/>
  <c r="AS24" i="15"/>
  <c r="AO49" i="15"/>
  <c r="AO50" i="15" s="1"/>
  <c r="AS22" i="14"/>
  <c r="AX22" i="14"/>
  <c r="AN22" i="14"/>
  <c r="AI53" i="16"/>
  <c r="AJ53" i="16"/>
  <c r="AI55" i="15"/>
  <c r="AJ55" i="15"/>
  <c r="AI54" i="15"/>
  <c r="AJ54" i="15"/>
  <c r="AP21" i="14"/>
  <c r="AU21" i="14"/>
  <c r="AZ21" i="14"/>
  <c r="BA20" i="14"/>
  <c r="AV20" i="14"/>
  <c r="AQ20" i="14"/>
  <c r="AI52" i="15"/>
  <c r="AJ52" i="15"/>
  <c r="AU20" i="16"/>
  <c r="AZ20" i="16"/>
  <c r="AP20" i="16"/>
  <c r="AW23" i="16"/>
  <c r="BB23" i="16"/>
  <c r="AR23" i="16"/>
  <c r="AT49" i="15"/>
  <c r="AT50" i="15" s="1"/>
  <c r="AV24" i="14"/>
  <c r="BA24" i="14"/>
  <c r="AQ24" i="14"/>
  <c r="BB19" i="14"/>
  <c r="AR19" i="14"/>
  <c r="AW19" i="14"/>
  <c r="AI51" i="15"/>
  <c r="AJ51" i="15"/>
  <c r="AS21" i="14"/>
  <c r="AN21" i="14"/>
  <c r="AX21" i="14"/>
  <c r="BB24" i="16"/>
  <c r="AZ21" i="15"/>
  <c r="AP21" i="15"/>
  <c r="AU21" i="15"/>
  <c r="AU19" i="15"/>
  <c r="AZ19" i="15"/>
  <c r="AP19" i="15"/>
  <c r="AZ19" i="16"/>
  <c r="AP19" i="16"/>
  <c r="AU19" i="16"/>
  <c r="X67" i="15"/>
  <c r="Z53" i="15"/>
  <c r="X68" i="15"/>
  <c r="AS24" i="14"/>
  <c r="AX24" i="14"/>
  <c r="AN24" i="14"/>
  <c r="BA19" i="14"/>
  <c r="AQ19" i="14"/>
  <c r="AV19" i="14"/>
  <c r="AZ20" i="14"/>
  <c r="AU20" i="14"/>
  <c r="AP20" i="14"/>
  <c r="AJ51" i="16"/>
  <c r="AI51" i="16"/>
  <c r="AI55" i="16"/>
  <c r="AJ55" i="16"/>
  <c r="AS49" i="14"/>
  <c r="AS50" i="14" s="1"/>
  <c r="AW19" i="16"/>
  <c r="BB19" i="16"/>
  <c r="AR19" i="16"/>
  <c r="AW22" i="16"/>
  <c r="BB22" i="16"/>
  <c r="AR22" i="16"/>
  <c r="AO21" i="16"/>
  <c r="AT21" i="16"/>
  <c r="AY21" i="16"/>
  <c r="AW21" i="15"/>
  <c r="BB21" i="15"/>
  <c r="AR21" i="15"/>
  <c r="AO24" i="16"/>
  <c r="AT24" i="16"/>
  <c r="AY24" i="16"/>
  <c r="AX19" i="16"/>
  <c r="AN19" i="16"/>
  <c r="AS19" i="16"/>
  <c r="AZ22" i="16"/>
  <c r="AP22" i="16"/>
  <c r="AU22" i="16"/>
  <c r="AR49" i="15"/>
  <c r="AR50" i="15" s="1"/>
  <c r="AX20" i="14"/>
  <c r="AN20" i="14"/>
  <c r="AS20" i="14"/>
  <c r="AQ49" i="14"/>
  <c r="AQ50" i="14" s="1"/>
  <c r="V90" i="14" s="1"/>
  <c r="AJ84" i="14" s="1"/>
  <c r="AO23" i="14"/>
  <c r="AT23" i="14"/>
  <c r="AY23" i="14"/>
  <c r="AW23" i="14"/>
  <c r="AR23" i="14"/>
  <c r="BB23" i="14"/>
  <c r="AW24" i="15"/>
  <c r="BB24" i="15"/>
  <c r="AR24" i="15"/>
  <c r="BB21" i="16"/>
  <c r="AR21" i="16"/>
  <c r="AW21" i="16"/>
  <c r="AI53" i="14"/>
  <c r="AJ53" i="14"/>
  <c r="AW20" i="14"/>
  <c r="BB20" i="14"/>
  <c r="AR20" i="14"/>
  <c r="AX23" i="14"/>
  <c r="AS23" i="14"/>
  <c r="AN23" i="14"/>
  <c r="AP23" i="14"/>
  <c r="AU23" i="14"/>
  <c r="AZ23" i="14"/>
  <c r="C2" i="9"/>
  <c r="C107" i="9"/>
  <c r="AX61" i="6"/>
  <c r="AX62" i="6"/>
  <c r="AX63" i="6"/>
  <c r="AX64" i="6"/>
  <c r="C2" i="13"/>
  <c r="D143" i="13"/>
  <c r="E143" i="13"/>
  <c r="F143" i="13"/>
  <c r="G143" i="13"/>
  <c r="H143" i="13"/>
  <c r="I143" i="13"/>
  <c r="J143" i="13"/>
  <c r="K143" i="13"/>
  <c r="L143" i="13"/>
  <c r="M143" i="13"/>
  <c r="N143" i="13"/>
  <c r="O143" i="13"/>
  <c r="P143" i="13"/>
  <c r="Q143" i="13"/>
  <c r="R143" i="13"/>
  <c r="S143" i="13"/>
  <c r="T143" i="13"/>
  <c r="AK147" i="13"/>
  <c r="D159" i="13"/>
  <c r="E159" i="13"/>
  <c r="F159" i="13"/>
  <c r="G159" i="13"/>
  <c r="H159" i="13"/>
  <c r="I159" i="13"/>
  <c r="J159" i="13"/>
  <c r="K159" i="13"/>
  <c r="L159" i="13"/>
  <c r="M159" i="13"/>
  <c r="N159" i="13"/>
  <c r="O159" i="13"/>
  <c r="P159" i="13"/>
  <c r="Q159" i="13"/>
  <c r="R159" i="13"/>
  <c r="S159" i="13"/>
  <c r="T159" i="13"/>
  <c r="G110" i="13"/>
  <c r="D111" i="13"/>
  <c r="D116" i="13" s="1"/>
  <c r="F111" i="13"/>
  <c r="W111" i="13"/>
  <c r="D112" i="13"/>
  <c r="D117" i="13" s="1"/>
  <c r="F112" i="13"/>
  <c r="W112" i="13"/>
  <c r="W113" i="13"/>
  <c r="W114" i="13"/>
  <c r="G115" i="13"/>
  <c r="W115" i="13"/>
  <c r="F116" i="13"/>
  <c r="F117" i="13"/>
  <c r="G98" i="13"/>
  <c r="F24" i="3" s="1"/>
  <c r="D78" i="13"/>
  <c r="D96" i="13" s="1"/>
  <c r="U80" i="13"/>
  <c r="G81" i="13"/>
  <c r="F16" i="3" s="1"/>
  <c r="G82" i="13"/>
  <c r="U82" i="13" s="1"/>
  <c r="G83" i="13"/>
  <c r="U83" i="13" s="1"/>
  <c r="G84" i="13"/>
  <c r="G85" i="13"/>
  <c r="G89" i="13"/>
  <c r="C90" i="13"/>
  <c r="G91" i="13"/>
  <c r="F21" i="3" s="1"/>
  <c r="E93" i="13"/>
  <c r="F93" i="13"/>
  <c r="L19" i="13"/>
  <c r="N19" i="13"/>
  <c r="X19" i="13" s="1"/>
  <c r="V19" i="13"/>
  <c r="W19" i="13"/>
  <c r="AE19" i="13"/>
  <c r="AF19" i="13" s="1"/>
  <c r="L20" i="13"/>
  <c r="N20" i="13"/>
  <c r="X20" i="13" s="1"/>
  <c r="V20" i="13"/>
  <c r="W20" i="13"/>
  <c r="AE20" i="13"/>
  <c r="AM20" i="13" s="1"/>
  <c r="BL20" i="13" s="1"/>
  <c r="L21" i="13"/>
  <c r="N21" i="13"/>
  <c r="X21" i="13" s="1"/>
  <c r="V21" i="13"/>
  <c r="W21" i="13"/>
  <c r="AE21" i="13"/>
  <c r="AF21" i="13" s="1"/>
  <c r="AM21" i="13"/>
  <c r="BL21" i="13" s="1"/>
  <c r="L22" i="13"/>
  <c r="N22" i="13"/>
  <c r="V22" i="13"/>
  <c r="W22" i="13"/>
  <c r="X22" i="13"/>
  <c r="AE22" i="13"/>
  <c r="AF22" i="13" s="1"/>
  <c r="L23" i="13"/>
  <c r="N23" i="13"/>
  <c r="X23" i="13" s="1"/>
  <c r="V23" i="13"/>
  <c r="W23" i="13"/>
  <c r="AE23" i="13"/>
  <c r="AM23" i="13" s="1"/>
  <c r="BL23" i="13" s="1"/>
  <c r="L24" i="13"/>
  <c r="N24" i="13"/>
  <c r="X24" i="13" s="1"/>
  <c r="V24" i="13"/>
  <c r="W24" i="13"/>
  <c r="AE24" i="13"/>
  <c r="AF24" i="13" s="1"/>
  <c r="V25" i="13"/>
  <c r="W25" i="13"/>
  <c r="X25" i="13"/>
  <c r="V26" i="13"/>
  <c r="W26" i="13"/>
  <c r="X26" i="13"/>
  <c r="V27" i="13"/>
  <c r="W27" i="13"/>
  <c r="X27" i="13"/>
  <c r="AX28" i="13"/>
  <c r="AY28" i="13"/>
  <c r="AZ28" i="13" s="1"/>
  <c r="V29" i="13"/>
  <c r="X29" i="13"/>
  <c r="AX30" i="13"/>
  <c r="AZ30" i="13"/>
  <c r="AZ31" i="13"/>
  <c r="AF35" i="13"/>
  <c r="AF39" i="13" s="1"/>
  <c r="AE36" i="13"/>
  <c r="AM36" i="13"/>
  <c r="AE37" i="13"/>
  <c r="AE38" i="13"/>
  <c r="AN38" i="13"/>
  <c r="AO38" i="13" s="1"/>
  <c r="AE39" i="13"/>
  <c r="AN39" i="13"/>
  <c r="AR39" i="13" s="1"/>
  <c r="V40" i="13"/>
  <c r="Y40" i="13"/>
  <c r="AF40" i="13"/>
  <c r="D92" i="13" s="1"/>
  <c r="G92" i="13" s="1"/>
  <c r="AN40" i="13"/>
  <c r="AO40" i="13" s="1"/>
  <c r="AN41" i="13"/>
  <c r="AQ41" i="13" s="1"/>
  <c r="AN42" i="13"/>
  <c r="AO42" i="13" s="1"/>
  <c r="AN43" i="13"/>
  <c r="AO43" i="13" s="1"/>
  <c r="AE44" i="13"/>
  <c r="AN44" i="13"/>
  <c r="AQ44" i="13" s="1"/>
  <c r="C45" i="13"/>
  <c r="AE45" i="13"/>
  <c r="AN45" i="13"/>
  <c r="AO45" i="13" s="1"/>
  <c r="C46" i="13"/>
  <c r="V46" i="13"/>
  <c r="AE46" i="13"/>
  <c r="AJ46" i="13"/>
  <c r="AN46" i="13"/>
  <c r="AO46" i="13" s="1"/>
  <c r="AE47" i="13"/>
  <c r="AN47" i="13"/>
  <c r="AO47" i="13" s="1"/>
  <c r="AN48" i="13"/>
  <c r="AP48" i="13" s="1"/>
  <c r="Z56" i="13"/>
  <c r="W59" i="13"/>
  <c r="Z55" i="13" s="1"/>
  <c r="W62" i="13"/>
  <c r="AI63" i="13"/>
  <c r="AB5" i="13"/>
  <c r="F36" i="3" s="1"/>
  <c r="AC5" i="13"/>
  <c r="G36" i="3" s="1"/>
  <c r="AB6" i="13"/>
  <c r="F37" i="3" s="1"/>
  <c r="AC6" i="13"/>
  <c r="G37" i="3" s="1"/>
  <c r="AB7" i="13"/>
  <c r="F38" i="3" s="1"/>
  <c r="AC7" i="13"/>
  <c r="G38" i="3" s="1"/>
  <c r="AB8" i="13"/>
  <c r="F39" i="3" s="1"/>
  <c r="AC8" i="13"/>
  <c r="G39" i="3" s="1"/>
  <c r="AB9" i="13"/>
  <c r="AC9" i="13"/>
  <c r="G40" i="3" s="1"/>
  <c r="C137" i="6"/>
  <c r="AB9" i="9"/>
  <c r="AC9" i="9"/>
  <c r="E40" i="3" s="1"/>
  <c r="AC8" i="9"/>
  <c r="E39" i="3" s="1"/>
  <c r="AB8" i="9"/>
  <c r="D39" i="3" s="1"/>
  <c r="AC7" i="9"/>
  <c r="E38" i="3" s="1"/>
  <c r="AB7" i="9"/>
  <c r="D38" i="3" s="1"/>
  <c r="AB6" i="9"/>
  <c r="D37" i="3" s="1"/>
  <c r="AC6" i="9"/>
  <c r="E37" i="3" s="1"/>
  <c r="AC5" i="9"/>
  <c r="E36" i="3" s="1"/>
  <c r="AB5" i="9"/>
  <c r="D36" i="3" s="1"/>
  <c r="Y10" i="3"/>
  <c r="G85" i="9"/>
  <c r="AD86" i="6"/>
  <c r="AF40" i="9"/>
  <c r="D92" i="9" s="1"/>
  <c r="X42" i="3"/>
  <c r="V90" i="15" l="1"/>
  <c r="AJ84" i="15" s="1"/>
  <c r="AW24" i="16"/>
  <c r="BM23" i="16"/>
  <c r="AO26" i="14"/>
  <c r="BO20" i="16"/>
  <c r="AO23" i="16"/>
  <c r="V83" i="16" s="1"/>
  <c r="H83" i="16" s="1"/>
  <c r="AY23" i="16"/>
  <c r="AZ23" i="16"/>
  <c r="AU23" i="16"/>
  <c r="V84" i="16" s="1"/>
  <c r="AQ19" i="15"/>
  <c r="AQ26" i="15" s="1"/>
  <c r="BO19" i="14"/>
  <c r="AV19" i="15"/>
  <c r="BN23" i="16"/>
  <c r="BO23" i="16" s="1"/>
  <c r="BA23" i="16"/>
  <c r="BA26" i="16" s="1"/>
  <c r="AV23" i="16"/>
  <c r="V89" i="16" s="1"/>
  <c r="H89" i="16" s="1"/>
  <c r="BN24" i="16"/>
  <c r="BO24" i="14"/>
  <c r="AX23" i="16"/>
  <c r="AN23" i="16"/>
  <c r="BM24" i="16"/>
  <c r="BO24" i="16" s="1"/>
  <c r="F15" i="3"/>
  <c r="AI80" i="13"/>
  <c r="Y69" i="14"/>
  <c r="BO19" i="16"/>
  <c r="AM22" i="13"/>
  <c r="BL22" i="13" s="1"/>
  <c r="BO22" i="16"/>
  <c r="AN24" i="16"/>
  <c r="AX24" i="16"/>
  <c r="AS24" i="16"/>
  <c r="AS26" i="16" s="1"/>
  <c r="AI81" i="13"/>
  <c r="BO24" i="15"/>
  <c r="BO20" i="15"/>
  <c r="BO22" i="14"/>
  <c r="BO20" i="14"/>
  <c r="BO23" i="15"/>
  <c r="AY26" i="14"/>
  <c r="BA22" i="15"/>
  <c r="BA26" i="15" s="1"/>
  <c r="BH22" i="13"/>
  <c r="BG22" i="13"/>
  <c r="BJ22" i="13"/>
  <c r="BI22" i="13"/>
  <c r="BF22" i="13"/>
  <c r="AU22" i="15"/>
  <c r="V84" i="15" s="1"/>
  <c r="AV22" i="15"/>
  <c r="AM24" i="13"/>
  <c r="BL24" i="13" s="1"/>
  <c r="BO23" i="14"/>
  <c r="BO21" i="16"/>
  <c r="Y69" i="16"/>
  <c r="D86" i="16" s="1"/>
  <c r="G86" i="16" s="1"/>
  <c r="BN22" i="15"/>
  <c r="BM22" i="15"/>
  <c r="AZ22" i="15"/>
  <c r="AZ26" i="15" s="1"/>
  <c r="BH24" i="13"/>
  <c r="BF24" i="13"/>
  <c r="BG24" i="13"/>
  <c r="BJ24" i="13"/>
  <c r="BI24" i="13"/>
  <c r="BF21" i="13"/>
  <c r="BI21" i="13"/>
  <c r="BG21" i="13"/>
  <c r="BJ21" i="13"/>
  <c r="BH21" i="13"/>
  <c r="Y68" i="15"/>
  <c r="Y67" i="15"/>
  <c r="AT26" i="14"/>
  <c r="BO21" i="14"/>
  <c r="BM19" i="15"/>
  <c r="BN19" i="15"/>
  <c r="BG19" i="13"/>
  <c r="BI19" i="13"/>
  <c r="BF19" i="13"/>
  <c r="BJ19" i="13"/>
  <c r="BH19" i="13"/>
  <c r="AW19" i="15"/>
  <c r="AR19" i="15"/>
  <c r="BB19" i="15"/>
  <c r="AT19" i="15"/>
  <c r="AO19" i="15"/>
  <c r="AY19" i="15"/>
  <c r="AS19" i="15"/>
  <c r="AX19" i="15"/>
  <c r="AN19" i="15"/>
  <c r="AT22" i="15"/>
  <c r="AO22" i="15"/>
  <c r="AY22" i="15"/>
  <c r="AW22" i="15"/>
  <c r="AR22" i="15"/>
  <c r="BB22" i="15"/>
  <c r="AN22" i="15"/>
  <c r="AS22" i="15"/>
  <c r="AX22" i="15"/>
  <c r="AJ37" i="13"/>
  <c r="F99" i="14"/>
  <c r="G99" i="14" s="1"/>
  <c r="H25" i="3" s="1"/>
  <c r="AQ26" i="16"/>
  <c r="F17" i="3"/>
  <c r="AE48" i="13"/>
  <c r="D87" i="13" s="1"/>
  <c r="G87" i="13" s="1"/>
  <c r="BA26" i="14"/>
  <c r="AZ26" i="14"/>
  <c r="AO26" i="16"/>
  <c r="V81" i="13"/>
  <c r="AJ81" i="13" s="1"/>
  <c r="AT42" i="13"/>
  <c r="AM19" i="13"/>
  <c r="BL19" i="13" s="1"/>
  <c r="AQ45" i="13"/>
  <c r="AS42" i="13"/>
  <c r="AR42" i="13"/>
  <c r="AT45" i="13"/>
  <c r="AS45" i="13"/>
  <c r="AR45" i="13"/>
  <c r="AQ46" i="13"/>
  <c r="AS38" i="13"/>
  <c r="AP46" i="13"/>
  <c r="AT43" i="13"/>
  <c r="AQ43" i="13"/>
  <c r="AP45" i="13"/>
  <c r="AR38" i="13"/>
  <c r="AT46" i="13"/>
  <c r="AS46" i="13"/>
  <c r="AR46" i="13"/>
  <c r="F99" i="16"/>
  <c r="G99" i="16" s="1"/>
  <c r="L25" i="3" s="1"/>
  <c r="F99" i="15"/>
  <c r="G99" i="15" s="1"/>
  <c r="J25" i="3" s="1"/>
  <c r="AJ56" i="14"/>
  <c r="AI57" i="14" s="1"/>
  <c r="H31" i="3" s="1"/>
  <c r="AI58" i="14"/>
  <c r="AA42" i="3" s="1"/>
  <c r="AN26" i="14"/>
  <c r="AP26" i="14"/>
  <c r="V84" i="14"/>
  <c r="S18" i="3" s="1"/>
  <c r="AS26" i="14"/>
  <c r="V82" i="14"/>
  <c r="H82" i="14" s="1"/>
  <c r="AX26" i="14"/>
  <c r="AV26" i="14"/>
  <c r="AZ26" i="16"/>
  <c r="AY26" i="16"/>
  <c r="AT26" i="16"/>
  <c r="AI56" i="16"/>
  <c r="AI58" i="15"/>
  <c r="AB42" i="3" s="1"/>
  <c r="AJ56" i="15"/>
  <c r="AI57" i="15" s="1"/>
  <c r="J31" i="3" s="1"/>
  <c r="AJ56" i="16"/>
  <c r="AI57" i="16" s="1"/>
  <c r="L31" i="3" s="1"/>
  <c r="AP26" i="16"/>
  <c r="AP26" i="15"/>
  <c r="AW26" i="14"/>
  <c r="V91" i="14"/>
  <c r="AR26" i="14"/>
  <c r="V91" i="16"/>
  <c r="AR26" i="16"/>
  <c r="BB26" i="14"/>
  <c r="V80" i="14"/>
  <c r="BB26" i="16"/>
  <c r="V80" i="16"/>
  <c r="AQ26" i="14"/>
  <c r="V89" i="14"/>
  <c r="H89" i="14" s="1"/>
  <c r="AW26" i="16"/>
  <c r="AU26" i="14"/>
  <c r="X69" i="15"/>
  <c r="V86" i="15" s="1"/>
  <c r="V83" i="14"/>
  <c r="H83" i="14" s="1"/>
  <c r="AT40" i="13"/>
  <c r="AQ40" i="13"/>
  <c r="AT38" i="13"/>
  <c r="AI82" i="13"/>
  <c r="AQ42" i="13"/>
  <c r="AF20" i="13"/>
  <c r="AP42" i="13"/>
  <c r="AT39" i="13"/>
  <c r="AX29" i="13"/>
  <c r="AX31" i="13" s="1"/>
  <c r="AX32" i="13" s="1"/>
  <c r="D99" i="13" s="1"/>
  <c r="AS39" i="13"/>
  <c r="AO44" i="13"/>
  <c r="AJ42" i="13"/>
  <c r="AJ55" i="13" s="1"/>
  <c r="AQ39" i="13"/>
  <c r="AJ36" i="13"/>
  <c r="AI51" i="13" s="1"/>
  <c r="AO41" i="13"/>
  <c r="AP39" i="13"/>
  <c r="AF23" i="13"/>
  <c r="AJ41" i="13"/>
  <c r="AI54" i="13" s="1"/>
  <c r="AQ47" i="13"/>
  <c r="AO39" i="13"/>
  <c r="AH21" i="13"/>
  <c r="AG21" i="13"/>
  <c r="AI21" i="13"/>
  <c r="AJ21" i="13"/>
  <c r="AK21" i="13"/>
  <c r="AJ19" i="13"/>
  <c r="AG19" i="13"/>
  <c r="AH19" i="13"/>
  <c r="AI19" i="13"/>
  <c r="AK19" i="13"/>
  <c r="AH24" i="13"/>
  <c r="AG24" i="13"/>
  <c r="AI24" i="13"/>
  <c r="AJ24" i="13"/>
  <c r="AK24" i="13"/>
  <c r="AG22" i="13"/>
  <c r="AJ22" i="13"/>
  <c r="AH22" i="13"/>
  <c r="AI22" i="13"/>
  <c r="AK22" i="13"/>
  <c r="AO48" i="13"/>
  <c r="AP44" i="13"/>
  <c r="AP41" i="13"/>
  <c r="U84" i="13"/>
  <c r="AT47" i="13"/>
  <c r="AQ38" i="13"/>
  <c r="AF36" i="13"/>
  <c r="AS47" i="13"/>
  <c r="AS43" i="13"/>
  <c r="AS40" i="13"/>
  <c r="AP38" i="13"/>
  <c r="Z54" i="13"/>
  <c r="AR47" i="13"/>
  <c r="AR43" i="13"/>
  <c r="AR40" i="13"/>
  <c r="AJ35" i="13"/>
  <c r="AS48" i="13"/>
  <c r="AP47" i="13"/>
  <c r="AT44" i="13"/>
  <c r="AP43" i="13"/>
  <c r="AT41" i="13"/>
  <c r="AP40" i="13"/>
  <c r="AJ38" i="13"/>
  <c r="AJ34" i="13"/>
  <c r="U89" i="13"/>
  <c r="AT48" i="13"/>
  <c r="AR48" i="13"/>
  <c r="AS44" i="13"/>
  <c r="AS41" i="13"/>
  <c r="AF38" i="13"/>
  <c r="U81" i="13"/>
  <c r="AQ48" i="13"/>
  <c r="AR44" i="13"/>
  <c r="AR41" i="13"/>
  <c r="AJ39" i="13"/>
  <c r="U91" i="13"/>
  <c r="AI86" i="13"/>
  <c r="AJ43" i="13"/>
  <c r="AJ40" i="13"/>
  <c r="M41" i="3"/>
  <c r="AD69" i="3" s="1"/>
  <c r="L41" i="3"/>
  <c r="K41" i="3"/>
  <c r="AC69" i="3" s="1"/>
  <c r="J41" i="3"/>
  <c r="I41" i="3"/>
  <c r="AB69" i="3" s="1"/>
  <c r="H41" i="3"/>
  <c r="G41" i="3"/>
  <c r="AA69" i="3" s="1"/>
  <c r="F41" i="3"/>
  <c r="AL63" i="3" s="1"/>
  <c r="E41" i="3"/>
  <c r="Z69" i="3" s="1"/>
  <c r="D41" i="3"/>
  <c r="AI63" i="9"/>
  <c r="AJ46" i="9"/>
  <c r="L19" i="9"/>
  <c r="AO63" i="3" l="1"/>
  <c r="AO62" i="3"/>
  <c r="AN63" i="3"/>
  <c r="AN62" i="3"/>
  <c r="AM63" i="3"/>
  <c r="AM62" i="3"/>
  <c r="AL62" i="3"/>
  <c r="AU26" i="16"/>
  <c r="AV26" i="15"/>
  <c r="AV26" i="16"/>
  <c r="AA82" i="16"/>
  <c r="AD70" i="3"/>
  <c r="AX26" i="16"/>
  <c r="D86" i="14"/>
  <c r="G86" i="14" s="1"/>
  <c r="V82" i="16"/>
  <c r="AJ82" i="16" s="1"/>
  <c r="AK82" i="16" s="1"/>
  <c r="AN26" i="16"/>
  <c r="AK81" i="13"/>
  <c r="AA82" i="14"/>
  <c r="AB70" i="3" s="1"/>
  <c r="BO19" i="15"/>
  <c r="BB26" i="15"/>
  <c r="V89" i="15"/>
  <c r="H89" i="15" s="1"/>
  <c r="AU26" i="15"/>
  <c r="AX26" i="15"/>
  <c r="AW26" i="15"/>
  <c r="BN24" i="13"/>
  <c r="BM24" i="13"/>
  <c r="BO22" i="15"/>
  <c r="H86" i="16"/>
  <c r="U86" i="16"/>
  <c r="L18" i="3"/>
  <c r="AI83" i="16"/>
  <c r="AR26" i="15"/>
  <c r="AH20" i="13"/>
  <c r="AY20" i="13" s="1"/>
  <c r="BJ20" i="13"/>
  <c r="BI20" i="13"/>
  <c r="BH20" i="13"/>
  <c r="BG20" i="13"/>
  <c r="BF20" i="13"/>
  <c r="BN22" i="13"/>
  <c r="BM22" i="13"/>
  <c r="AN26" i="15"/>
  <c r="X67" i="13"/>
  <c r="X68" i="13"/>
  <c r="V80" i="15"/>
  <c r="AJ80" i="15" s="1"/>
  <c r="AK80" i="15" s="1"/>
  <c r="AS26" i="15"/>
  <c r="BN21" i="13"/>
  <c r="BM21" i="13"/>
  <c r="AH23" i="13"/>
  <c r="AO23" i="13" s="1"/>
  <c r="BG23" i="13"/>
  <c r="BF23" i="13"/>
  <c r="BJ23" i="13"/>
  <c r="BI23" i="13"/>
  <c r="BH23" i="13"/>
  <c r="BN19" i="13"/>
  <c r="BM19" i="13"/>
  <c r="V91" i="15"/>
  <c r="H91" i="15" s="1"/>
  <c r="V82" i="15"/>
  <c r="H82" i="15" s="1"/>
  <c r="AY26" i="15"/>
  <c r="AO26" i="15"/>
  <c r="V83" i="15"/>
  <c r="H83" i="15" s="1"/>
  <c r="AT26" i="15"/>
  <c r="AJ83" i="14"/>
  <c r="H84" i="14"/>
  <c r="AJ82" i="14"/>
  <c r="AK82" i="14" s="1"/>
  <c r="S17" i="3"/>
  <c r="H81" i="13"/>
  <c r="AG20" i="13"/>
  <c r="AX20" i="13" s="1"/>
  <c r="AJ20" i="13"/>
  <c r="AV20" i="13" s="1"/>
  <c r="AK20" i="13"/>
  <c r="AW20" i="13" s="1"/>
  <c r="AO49" i="13"/>
  <c r="AO50" i="13" s="1"/>
  <c r="AY33" i="13"/>
  <c r="AI55" i="13"/>
  <c r="H84" i="16"/>
  <c r="U18" i="3"/>
  <c r="AJ83" i="16"/>
  <c r="AJ80" i="14"/>
  <c r="AK80" i="14" s="1"/>
  <c r="Y69" i="15"/>
  <c r="D86" i="15" s="1"/>
  <c r="H91" i="16"/>
  <c r="AJ86" i="16"/>
  <c r="AK86" i="16" s="1"/>
  <c r="AJ83" i="15"/>
  <c r="T18" i="3"/>
  <c r="H84" i="15"/>
  <c r="AJ86" i="14"/>
  <c r="AK86" i="14" s="1"/>
  <c r="H91" i="14"/>
  <c r="AJ80" i="16"/>
  <c r="AK80" i="16" s="1"/>
  <c r="AP49" i="13"/>
  <c r="AP50" i="13" s="1"/>
  <c r="AS49" i="13"/>
  <c r="AS50" i="13" s="1"/>
  <c r="AJ54" i="13"/>
  <c r="AJ51" i="13"/>
  <c r="AK23" i="13"/>
  <c r="BB23" i="13" s="1"/>
  <c r="AJ23" i="13"/>
  <c r="AV23" i="13" s="1"/>
  <c r="AX33" i="13"/>
  <c r="BA33" i="13"/>
  <c r="AT49" i="13"/>
  <c r="AT50" i="13" s="1"/>
  <c r="AI20" i="13"/>
  <c r="AU20" i="13" s="1"/>
  <c r="AR49" i="13"/>
  <c r="AR50" i="13" s="1"/>
  <c r="AZ33" i="13"/>
  <c r="AG23" i="13"/>
  <c r="AX23" i="13" s="1"/>
  <c r="AI23" i="13"/>
  <c r="AU23" i="13" s="1"/>
  <c r="AJ48" i="13"/>
  <c r="AI58" i="13" s="1"/>
  <c r="Z42" i="3" s="1"/>
  <c r="AJ52" i="13"/>
  <c r="AI52" i="13"/>
  <c r="AZ22" i="13"/>
  <c r="AP22" i="13"/>
  <c r="AU22" i="13"/>
  <c r="AS21" i="13"/>
  <c r="AX21" i="13"/>
  <c r="AN21" i="13"/>
  <c r="AJ53" i="13"/>
  <c r="AI53" i="13"/>
  <c r="BA22" i="13"/>
  <c r="AQ22" i="13"/>
  <c r="AV22" i="13"/>
  <c r="AQ49" i="13"/>
  <c r="AQ50" i="13" s="1"/>
  <c r="V90" i="13" s="1"/>
  <c r="AJ84" i="13" s="1"/>
  <c r="AN22" i="13"/>
  <c r="AS22" i="13"/>
  <c r="AX22" i="13"/>
  <c r="AU21" i="13"/>
  <c r="AZ21" i="13"/>
  <c r="AP21" i="13"/>
  <c r="BB19" i="13"/>
  <c r="AR19" i="13"/>
  <c r="AW19" i="13"/>
  <c r="BB22" i="13"/>
  <c r="AR22" i="13"/>
  <c r="AW22" i="13"/>
  <c r="AR24" i="13"/>
  <c r="AW24" i="13"/>
  <c r="BB24" i="13"/>
  <c r="AZ19" i="13"/>
  <c r="AP19" i="13"/>
  <c r="AU19" i="13"/>
  <c r="AQ24" i="13"/>
  <c r="BA24" i="13"/>
  <c r="AV24" i="13"/>
  <c r="AY19" i="13"/>
  <c r="AO19" i="13"/>
  <c r="AT19" i="13"/>
  <c r="AT21" i="13"/>
  <c r="AO21" i="13"/>
  <c r="AY21" i="13"/>
  <c r="AU24" i="13"/>
  <c r="AZ24" i="13"/>
  <c r="AP24" i="13"/>
  <c r="AN19" i="13"/>
  <c r="AS19" i="13"/>
  <c r="AX19" i="13"/>
  <c r="AQ21" i="13"/>
  <c r="BA21" i="13"/>
  <c r="AV21" i="13"/>
  <c r="AS24" i="13"/>
  <c r="AX24" i="13"/>
  <c r="AN24" i="13"/>
  <c r="BA19" i="13"/>
  <c r="AQ19" i="13"/>
  <c r="AV19" i="13"/>
  <c r="AY22" i="13"/>
  <c r="AO22" i="13"/>
  <c r="AT22" i="13"/>
  <c r="AI50" i="13"/>
  <c r="AJ50" i="13" s="1"/>
  <c r="Z53" i="13"/>
  <c r="AT24" i="13"/>
  <c r="AY24" i="13"/>
  <c r="AO24" i="13"/>
  <c r="AR21" i="13"/>
  <c r="AW21" i="13"/>
  <c r="BB21" i="13"/>
  <c r="Z11" i="3"/>
  <c r="AB11" i="3"/>
  <c r="AA11" i="3"/>
  <c r="H82" i="16" l="1"/>
  <c r="U17" i="3"/>
  <c r="AA82" i="15"/>
  <c r="AC70" i="3" s="1"/>
  <c r="AN71" i="3"/>
  <c r="AN70" i="3"/>
  <c r="AL70" i="3"/>
  <c r="AA72" i="3"/>
  <c r="AL71" i="3"/>
  <c r="AM71" i="3"/>
  <c r="AM70" i="3"/>
  <c r="H18" i="3"/>
  <c r="I18" i="3" s="1"/>
  <c r="AI83" i="14"/>
  <c r="H86" i="14"/>
  <c r="U86" i="14"/>
  <c r="AK83" i="14"/>
  <c r="AK83" i="16"/>
  <c r="BO21" i="13"/>
  <c r="Z67" i="3"/>
  <c r="T17" i="3"/>
  <c r="K17" i="3" s="1"/>
  <c r="BO24" i="13"/>
  <c r="AY23" i="13"/>
  <c r="AY26" i="13" s="1"/>
  <c r="I21" i="3"/>
  <c r="AT23" i="13"/>
  <c r="AJ82" i="15"/>
  <c r="AK82" i="15" s="1"/>
  <c r="AJ86" i="15"/>
  <c r="AK86" i="15" s="1"/>
  <c r="BO22" i="13"/>
  <c r="BM20" i="13"/>
  <c r="BN20" i="13"/>
  <c r="AB73" i="3"/>
  <c r="I17" i="3"/>
  <c r="AO20" i="13"/>
  <c r="AO26" i="13" s="1"/>
  <c r="Y68" i="13"/>
  <c r="Y67" i="13"/>
  <c r="AT20" i="13"/>
  <c r="AC72" i="3"/>
  <c r="AC74" i="3"/>
  <c r="AC90" i="3"/>
  <c r="AC75" i="3"/>
  <c r="AC91" i="3"/>
  <c r="AC98" i="3"/>
  <c r="AC89" i="3"/>
  <c r="AC76" i="3"/>
  <c r="AC92" i="3"/>
  <c r="AC100" i="3"/>
  <c r="AC86" i="3"/>
  <c r="AC88" i="3"/>
  <c r="AC77" i="3"/>
  <c r="AC93" i="3"/>
  <c r="AC79" i="3"/>
  <c r="AC99" i="3"/>
  <c r="AC85" i="3"/>
  <c r="AC78" i="3"/>
  <c r="AC94" i="3"/>
  <c r="AC95" i="3"/>
  <c r="AC82" i="3"/>
  <c r="AC84" i="3"/>
  <c r="AC102" i="3"/>
  <c r="AC80" i="3"/>
  <c r="AC96" i="3"/>
  <c r="AC81" i="3"/>
  <c r="AC83" i="3"/>
  <c r="AC101" i="3"/>
  <c r="AC103" i="3"/>
  <c r="AC97" i="3"/>
  <c r="AC87" i="3"/>
  <c r="AC73" i="3"/>
  <c r="AA89" i="3"/>
  <c r="AA74" i="3"/>
  <c r="AA90" i="3"/>
  <c r="AA97" i="3"/>
  <c r="AA99" i="3"/>
  <c r="AA86" i="3"/>
  <c r="AA75" i="3"/>
  <c r="AA91" i="3"/>
  <c r="AA81" i="3"/>
  <c r="AA76" i="3"/>
  <c r="AA92" i="3"/>
  <c r="AA83" i="3"/>
  <c r="AA102" i="3"/>
  <c r="AA77" i="3"/>
  <c r="AA93" i="3"/>
  <c r="AA96" i="3"/>
  <c r="AA98" i="3"/>
  <c r="AA84" i="3"/>
  <c r="AA73" i="3"/>
  <c r="AA78" i="3"/>
  <c r="AA94" i="3"/>
  <c r="AA100" i="3"/>
  <c r="AA103" i="3"/>
  <c r="AA79" i="3"/>
  <c r="AA95" i="3"/>
  <c r="AA85" i="3"/>
  <c r="AA87" i="3"/>
  <c r="AA80" i="3"/>
  <c r="AA101" i="3"/>
  <c r="AA82" i="3"/>
  <c r="AA88" i="3"/>
  <c r="AB74" i="3"/>
  <c r="AB72" i="3"/>
  <c r="AB75" i="3"/>
  <c r="AB91" i="3"/>
  <c r="AB76" i="3"/>
  <c r="AB92" i="3"/>
  <c r="AB89" i="3"/>
  <c r="AB77" i="3"/>
  <c r="AB93" i="3"/>
  <c r="AB78" i="3"/>
  <c r="AB94" i="3"/>
  <c r="AB79" i="3"/>
  <c r="AB95" i="3"/>
  <c r="AB80" i="3"/>
  <c r="AB96" i="3"/>
  <c r="AB88" i="3"/>
  <c r="AB81" i="3"/>
  <c r="AB97" i="3"/>
  <c r="AB82" i="3"/>
  <c r="AB98" i="3"/>
  <c r="AB101" i="3"/>
  <c r="AB90" i="3"/>
  <c r="AB83" i="3"/>
  <c r="AB99" i="3"/>
  <c r="AB85" i="3"/>
  <c r="AB84" i="3"/>
  <c r="AB100" i="3"/>
  <c r="AB86" i="3"/>
  <c r="AB102" i="3"/>
  <c r="AB103" i="3"/>
  <c r="AB87" i="3"/>
  <c r="BN23" i="13"/>
  <c r="BM23" i="13"/>
  <c r="BO19" i="13"/>
  <c r="I16" i="3"/>
  <c r="K16" i="3"/>
  <c r="K21" i="3"/>
  <c r="G16" i="3"/>
  <c r="AQ20" i="13"/>
  <c r="AN20" i="13"/>
  <c r="AS20" i="13"/>
  <c r="AZ23" i="13"/>
  <c r="AP23" i="13"/>
  <c r="AR20" i="13"/>
  <c r="AN23" i="13"/>
  <c r="AQ23" i="13"/>
  <c r="BB20" i="13"/>
  <c r="BB26" i="13" s="1"/>
  <c r="BA20" i="13"/>
  <c r="BA23" i="13"/>
  <c r="AI56" i="13"/>
  <c r="AJ56" i="13" s="1"/>
  <c r="AI57" i="13" s="1"/>
  <c r="F31" i="3" s="1"/>
  <c r="F99" i="13"/>
  <c r="G99" i="13" s="1"/>
  <c r="F25" i="3" s="1"/>
  <c r="G86" i="15"/>
  <c r="AR23" i="13"/>
  <c r="AW23" i="13"/>
  <c r="AW26" i="13" s="1"/>
  <c r="AP20" i="13"/>
  <c r="AZ20" i="13"/>
  <c r="AS23" i="13"/>
  <c r="X69" i="13"/>
  <c r="V86" i="13" s="1"/>
  <c r="AV26" i="13"/>
  <c r="AX26" i="13"/>
  <c r="AU26" i="13"/>
  <c r="AA26" i="3"/>
  <c r="AA15" i="3"/>
  <c r="AA43" i="3"/>
  <c r="AB26" i="3"/>
  <c r="AB15" i="3"/>
  <c r="AB43" i="3"/>
  <c r="Z26" i="3"/>
  <c r="Z15" i="3"/>
  <c r="Z43" i="3"/>
  <c r="AA21" i="3"/>
  <c r="AM65" i="3" s="1"/>
  <c r="AA18" i="3"/>
  <c r="AM61" i="3" s="1"/>
  <c r="AA17" i="3"/>
  <c r="AA16" i="3"/>
  <c r="AM60" i="3" s="1"/>
  <c r="AB21" i="3"/>
  <c r="AN65" i="3" s="1"/>
  <c r="Z21" i="3"/>
  <c r="AL65" i="3" s="1"/>
  <c r="Z17" i="3"/>
  <c r="Z16" i="3"/>
  <c r="AL60" i="3" s="1"/>
  <c r="AC11" i="3"/>
  <c r="AT26" i="13" l="1"/>
  <c r="AM72" i="3"/>
  <c r="AO71" i="3"/>
  <c r="AO70" i="3"/>
  <c r="V83" i="13"/>
  <c r="H83" i="13" s="1"/>
  <c r="V89" i="13"/>
  <c r="H89" i="13" s="1"/>
  <c r="AN26" i="13"/>
  <c r="BO20" i="13"/>
  <c r="M18" i="3"/>
  <c r="M17" i="3"/>
  <c r="AD72" i="3"/>
  <c r="AD74" i="3"/>
  <c r="AD90" i="3"/>
  <c r="AD99" i="3"/>
  <c r="AD101" i="3"/>
  <c r="AD103" i="3"/>
  <c r="AD89" i="3"/>
  <c r="AD75" i="3"/>
  <c r="AD91" i="3"/>
  <c r="AD100" i="3"/>
  <c r="AD87" i="3"/>
  <c r="AD76" i="3"/>
  <c r="AD92" i="3"/>
  <c r="AD77" i="3"/>
  <c r="AD93" i="3"/>
  <c r="AD78" i="3"/>
  <c r="AD94" i="3"/>
  <c r="AD79" i="3"/>
  <c r="AD95" i="3"/>
  <c r="AD84" i="3"/>
  <c r="AD86" i="3"/>
  <c r="AD88" i="3"/>
  <c r="AD80" i="3"/>
  <c r="AD96" i="3"/>
  <c r="AD97" i="3"/>
  <c r="AD81" i="3"/>
  <c r="AD83" i="3"/>
  <c r="AD102" i="3"/>
  <c r="AD73" i="3"/>
  <c r="AD82" i="3"/>
  <c r="AD98" i="3"/>
  <c r="AD85" i="3"/>
  <c r="BO23" i="13"/>
  <c r="AA82" i="13" s="1"/>
  <c r="AA70" i="3" s="1"/>
  <c r="V82" i="13"/>
  <c r="AJ82" i="13" s="1"/>
  <c r="AK82" i="13" s="1"/>
  <c r="AQ26" i="13"/>
  <c r="M16" i="3"/>
  <c r="M21" i="3"/>
  <c r="AZ26" i="13"/>
  <c r="V84" i="13"/>
  <c r="R18" i="3" s="1"/>
  <c r="BA26" i="13"/>
  <c r="AR26" i="13"/>
  <c r="V80" i="13"/>
  <c r="AJ80" i="13" s="1"/>
  <c r="AK80" i="13" s="1"/>
  <c r="AP26" i="13"/>
  <c r="V91" i="13"/>
  <c r="H91" i="13" s="1"/>
  <c r="G21" i="3" s="1"/>
  <c r="H86" i="15"/>
  <c r="U86" i="15"/>
  <c r="J18" i="3"/>
  <c r="K18" i="3" s="1"/>
  <c r="AI83" i="15"/>
  <c r="AS26" i="13"/>
  <c r="Y69" i="13"/>
  <c r="D86" i="13" s="1"/>
  <c r="AA32" i="3"/>
  <c r="Z32" i="3"/>
  <c r="AC26" i="3"/>
  <c r="AC15" i="3"/>
  <c r="AC43" i="3"/>
  <c r="AA27" i="3"/>
  <c r="AB32" i="3"/>
  <c r="Z27" i="3"/>
  <c r="Z28" i="3"/>
  <c r="AA28" i="3"/>
  <c r="AA29" i="3"/>
  <c r="AC21" i="3"/>
  <c r="AO65" i="3" s="1"/>
  <c r="R17" i="3" l="1"/>
  <c r="H82" i="13"/>
  <c r="H84" i="13"/>
  <c r="AJ83" i="13"/>
  <c r="AJ86" i="13"/>
  <c r="AK86" i="13" s="1"/>
  <c r="AK83" i="15"/>
  <c r="G86" i="13"/>
  <c r="F18" i="3" s="1"/>
  <c r="G18" i="3" s="1"/>
  <c r="AC32" i="3"/>
  <c r="T159" i="9"/>
  <c r="S159" i="9"/>
  <c r="R159" i="9"/>
  <c r="Q159" i="9"/>
  <c r="P159" i="9"/>
  <c r="O159" i="9"/>
  <c r="N159" i="9"/>
  <c r="M159" i="9"/>
  <c r="L159" i="9"/>
  <c r="K159" i="9"/>
  <c r="J159" i="9"/>
  <c r="I159" i="9"/>
  <c r="H159" i="9"/>
  <c r="G159" i="9"/>
  <c r="F159" i="9"/>
  <c r="E159" i="9"/>
  <c r="D159" i="9"/>
  <c r="D143" i="9"/>
  <c r="E143" i="9"/>
  <c r="F143" i="9"/>
  <c r="G143" i="9"/>
  <c r="H143" i="9"/>
  <c r="I143" i="9"/>
  <c r="J143" i="9"/>
  <c r="K143" i="9"/>
  <c r="L143" i="9"/>
  <c r="M143" i="9"/>
  <c r="N143" i="9"/>
  <c r="O143" i="9"/>
  <c r="P143" i="9"/>
  <c r="Q143" i="9"/>
  <c r="R143" i="9"/>
  <c r="S143" i="9"/>
  <c r="T143" i="9"/>
  <c r="F117" i="9"/>
  <c r="F116" i="9"/>
  <c r="F112" i="9"/>
  <c r="F111" i="9"/>
  <c r="D111" i="9"/>
  <c r="D116" i="9" s="1"/>
  <c r="G17" i="3" l="1"/>
  <c r="Z18" i="3"/>
  <c r="AL61" i="3" s="1"/>
  <c r="AL72" i="3" s="1"/>
  <c r="H86" i="13"/>
  <c r="U86" i="13"/>
  <c r="AI83" i="13"/>
  <c r="D112" i="9"/>
  <c r="D117" i="9" s="1"/>
  <c r="W115" i="9"/>
  <c r="W114" i="9"/>
  <c r="W113" i="9"/>
  <c r="W112" i="9"/>
  <c r="W111" i="9"/>
  <c r="Z29" i="3" l="1"/>
  <c r="AK83" i="13"/>
  <c r="G82" i="9"/>
  <c r="G83" i="9"/>
  <c r="U83" i="9" s="1"/>
  <c r="G81" i="9"/>
  <c r="D16" i="3" s="1"/>
  <c r="G115" i="9"/>
  <c r="G110" i="9"/>
  <c r="C90" i="9"/>
  <c r="G80" i="9"/>
  <c r="C46" i="9"/>
  <c r="AE45" i="9"/>
  <c r="AE46" i="9"/>
  <c r="AE47" i="9"/>
  <c r="AE44" i="9"/>
  <c r="C142" i="6"/>
  <c r="C141" i="6"/>
  <c r="C140" i="6"/>
  <c r="C136" i="6"/>
  <c r="N22" i="9"/>
  <c r="V29" i="9"/>
  <c r="H81" i="9" l="1"/>
  <c r="AE57" i="9"/>
  <c r="AE57" i="15"/>
  <c r="AE57" i="16"/>
  <c r="AE57" i="14"/>
  <c r="AE57" i="13"/>
  <c r="AE53" i="16"/>
  <c r="AE52" i="15"/>
  <c r="AE52" i="16"/>
  <c r="AE54" i="16"/>
  <c r="AE54" i="15"/>
  <c r="AE51" i="14"/>
  <c r="AE52" i="14"/>
  <c r="AE53" i="14"/>
  <c r="AE54" i="14"/>
  <c r="AE51" i="16"/>
  <c r="AE51" i="15"/>
  <c r="AE53" i="15"/>
  <c r="AE51" i="13"/>
  <c r="AE52" i="13"/>
  <c r="AE53" i="13"/>
  <c r="AE54" i="13"/>
  <c r="AE55" i="9"/>
  <c r="AE55" i="15"/>
  <c r="AE55" i="16"/>
  <c r="AE55" i="14"/>
  <c r="AE55" i="13"/>
  <c r="AE56" i="9"/>
  <c r="AE56" i="15"/>
  <c r="AE56" i="16"/>
  <c r="AE56" i="14"/>
  <c r="AE56" i="13"/>
  <c r="U80" i="9"/>
  <c r="D15" i="3"/>
  <c r="U82" i="9"/>
  <c r="U81" i="9"/>
  <c r="AE54" i="9"/>
  <c r="AE53" i="9"/>
  <c r="AE51" i="9"/>
  <c r="AE52" i="9"/>
  <c r="AE48" i="9"/>
  <c r="D87" i="9" s="1"/>
  <c r="AE58" i="16" l="1"/>
  <c r="D88" i="16" s="1"/>
  <c r="AE58" i="14"/>
  <c r="D88" i="14" s="1"/>
  <c r="AE58" i="13"/>
  <c r="D88" i="13" s="1"/>
  <c r="AE58" i="15"/>
  <c r="D88" i="15" s="1"/>
  <c r="AE58" i="9"/>
  <c r="D88" i="9" s="1"/>
  <c r="AM36" i="9"/>
  <c r="AN39" i="9"/>
  <c r="AT39" i="9" s="1"/>
  <c r="AN38" i="9"/>
  <c r="AQ38" i="9" s="1"/>
  <c r="AN40" i="9"/>
  <c r="AP40" i="9" s="1"/>
  <c r="AN41" i="9"/>
  <c r="AO41" i="9" s="1"/>
  <c r="AN42" i="9"/>
  <c r="AS42" i="9" s="1"/>
  <c r="AN43" i="9"/>
  <c r="AO43" i="9" s="1"/>
  <c r="AN44" i="9"/>
  <c r="AS44" i="9" s="1"/>
  <c r="AN45" i="9"/>
  <c r="AO45" i="9" s="1"/>
  <c r="AN46" i="9"/>
  <c r="AS46" i="9" s="1"/>
  <c r="AN47" i="9"/>
  <c r="AO47" i="9" s="1"/>
  <c r="AN48" i="9"/>
  <c r="AS48" i="9" s="1"/>
  <c r="Z56" i="9"/>
  <c r="W59" i="9"/>
  <c r="Z54" i="9" s="1"/>
  <c r="W62" i="9"/>
  <c r="Y68" i="9" l="1"/>
  <c r="Y67" i="9"/>
  <c r="X68" i="9"/>
  <c r="X67" i="9"/>
  <c r="G88" i="13"/>
  <c r="G88" i="14"/>
  <c r="G88" i="15"/>
  <c r="G88" i="16"/>
  <c r="AS38" i="9"/>
  <c r="AQ48" i="9"/>
  <c r="AQ42" i="9"/>
  <c r="AR38" i="9"/>
  <c r="AR48" i="9"/>
  <c r="AR46" i="9"/>
  <c r="AR44" i="9"/>
  <c r="AR42" i="9"/>
  <c r="AT38" i="9"/>
  <c r="AP48" i="9"/>
  <c r="AP46" i="9"/>
  <c r="AP44" i="9"/>
  <c r="AP42" i="9"/>
  <c r="AO40" i="9"/>
  <c r="AT47" i="9"/>
  <c r="AT45" i="9"/>
  <c r="AT43" i="9"/>
  <c r="AT41" i="9"/>
  <c r="AQ44" i="9"/>
  <c r="AT40" i="9"/>
  <c r="AS47" i="9"/>
  <c r="AS45" i="9"/>
  <c r="AS43" i="9"/>
  <c r="AS41" i="9"/>
  <c r="AS40" i="9"/>
  <c r="AR47" i="9"/>
  <c r="AR45" i="9"/>
  <c r="AR43" i="9"/>
  <c r="AR41" i="9"/>
  <c r="AR40" i="9"/>
  <c r="AQ47" i="9"/>
  <c r="AQ45" i="9"/>
  <c r="AQ43" i="9"/>
  <c r="AQ41" i="9"/>
  <c r="AQ46" i="9"/>
  <c r="AQ40" i="9"/>
  <c r="AP47" i="9"/>
  <c r="AP45" i="9"/>
  <c r="AP43" i="9"/>
  <c r="AP41" i="9"/>
  <c r="AO46" i="9"/>
  <c r="AO44" i="9"/>
  <c r="AO42" i="9"/>
  <c r="AO38" i="9"/>
  <c r="AO48" i="9"/>
  <c r="AP38" i="9"/>
  <c r="AT48" i="9"/>
  <c r="AT46" i="9"/>
  <c r="AT44" i="9"/>
  <c r="AT42" i="9"/>
  <c r="AO39" i="9"/>
  <c r="AP39" i="9"/>
  <c r="AQ39" i="9"/>
  <c r="AR39" i="9"/>
  <c r="AS39" i="9"/>
  <c r="Z53" i="9"/>
  <c r="Z55" i="9"/>
  <c r="X69" i="9" l="1"/>
  <c r="Y69" i="9"/>
  <c r="D86" i="9" s="1"/>
  <c r="V87" i="16"/>
  <c r="L20" i="3"/>
  <c r="AC20" i="3" s="1"/>
  <c r="AC31" i="3" s="1"/>
  <c r="AI85" i="16"/>
  <c r="U87" i="16"/>
  <c r="V87" i="15"/>
  <c r="U87" i="15"/>
  <c r="J20" i="3"/>
  <c r="AB20" i="3" s="1"/>
  <c r="AB31" i="3" s="1"/>
  <c r="AI85" i="15"/>
  <c r="AI85" i="14"/>
  <c r="U87" i="14"/>
  <c r="V87" i="14"/>
  <c r="H20" i="3"/>
  <c r="AA20" i="3" s="1"/>
  <c r="AA31" i="3" s="1"/>
  <c r="F20" i="3"/>
  <c r="Z20" i="3" s="1"/>
  <c r="AI85" i="13"/>
  <c r="U87" i="13"/>
  <c r="V87" i="13"/>
  <c r="AT49" i="9"/>
  <c r="AT50" i="9" s="1"/>
  <c r="AS49" i="9"/>
  <c r="AS50" i="9" s="1"/>
  <c r="AQ49" i="9"/>
  <c r="AQ50" i="9" s="1"/>
  <c r="V90" i="9" s="1"/>
  <c r="AO49" i="9"/>
  <c r="AO50" i="9" s="1"/>
  <c r="AP49" i="9"/>
  <c r="AP50" i="9" s="1"/>
  <c r="V86" i="9"/>
  <c r="AR49" i="9"/>
  <c r="AR50" i="9" s="1"/>
  <c r="Z31" i="3" l="1"/>
  <c r="AJ85" i="13"/>
  <c r="AK85" i="13" s="1"/>
  <c r="H87" i="13"/>
  <c r="G20" i="3" s="1"/>
  <c r="V93" i="13"/>
  <c r="AJ85" i="14"/>
  <c r="AK85" i="14" s="1"/>
  <c r="H87" i="14"/>
  <c r="I20" i="3" s="1"/>
  <c r="V93" i="14"/>
  <c r="AJ85" i="15"/>
  <c r="AK85" i="15" s="1"/>
  <c r="H87" i="15"/>
  <c r="K20" i="3" s="1"/>
  <c r="V93" i="15"/>
  <c r="AJ85" i="16"/>
  <c r="AK85" i="16" s="1"/>
  <c r="H87" i="16"/>
  <c r="M20" i="3" s="1"/>
  <c r="V93" i="16"/>
  <c r="AJ84" i="9"/>
  <c r="C45" i="9"/>
  <c r="AF35" i="9"/>
  <c r="AE37" i="9"/>
  <c r="AE38" i="9"/>
  <c r="AE39" i="9"/>
  <c r="AE36" i="9"/>
  <c r="G86" i="9" l="1"/>
  <c r="AF39" i="9"/>
  <c r="AF38" i="9"/>
  <c r="AI81" i="9"/>
  <c r="Y16" i="3"/>
  <c r="AI80" i="9"/>
  <c r="AF36" i="9"/>
  <c r="Y27" i="3" l="1"/>
  <c r="AK60" i="3"/>
  <c r="U86" i="9"/>
  <c r="H86" i="9"/>
  <c r="G92" i="9"/>
  <c r="AK62" i="3" l="1"/>
  <c r="AZ31" i="9"/>
  <c r="AX30" i="9"/>
  <c r="AZ30" i="9" s="1"/>
  <c r="AY28" i="9"/>
  <c r="AZ28" i="9" s="1"/>
  <c r="AX28" i="9"/>
  <c r="AE21" i="9"/>
  <c r="AF21" i="9" s="1"/>
  <c r="BH21" i="9" s="1"/>
  <c r="AE22" i="9"/>
  <c r="AF22" i="9" s="1"/>
  <c r="BH22" i="9" s="1"/>
  <c r="F69" i="6"/>
  <c r="F73" i="6" s="1"/>
  <c r="D69" i="6"/>
  <c r="AI65" i="6"/>
  <c r="AJ65" i="6" s="1"/>
  <c r="AI68" i="6" s="1"/>
  <c r="AI69" i="6" s="1"/>
  <c r="AI70" i="6" s="1"/>
  <c r="AI71" i="6" s="1"/>
  <c r="AI72" i="6" s="1"/>
  <c r="E68" i="6"/>
  <c r="BF22" i="9" l="1"/>
  <c r="BG22" i="9"/>
  <c r="BI22" i="9"/>
  <c r="BJ22" i="9"/>
  <c r="AJ21" i="9"/>
  <c r="BA21" i="9" s="1"/>
  <c r="BG21" i="9"/>
  <c r="BF21" i="9"/>
  <c r="BI21" i="9"/>
  <c r="BJ21" i="9"/>
  <c r="E16" i="3"/>
  <c r="AM22" i="9"/>
  <c r="BL22" i="9" s="1"/>
  <c r="AM21" i="9"/>
  <c r="BL21" i="9" s="1"/>
  <c r="AX29" i="9"/>
  <c r="AX31" i="9" s="1"/>
  <c r="AK22" i="9"/>
  <c r="BB22" i="9" s="1"/>
  <c r="AG22" i="9"/>
  <c r="AX22" i="9" s="1"/>
  <c r="AH22" i="9"/>
  <c r="AY22" i="9" s="1"/>
  <c r="AI22" i="9"/>
  <c r="AZ22" i="9" s="1"/>
  <c r="AJ22" i="9"/>
  <c r="BA22" i="9" s="1"/>
  <c r="AI21" i="9"/>
  <c r="AZ21" i="9" s="1"/>
  <c r="AG21" i="9"/>
  <c r="AX21" i="9" s="1"/>
  <c r="AH21" i="9"/>
  <c r="AY21" i="9" s="1"/>
  <c r="AK21" i="9"/>
  <c r="BB21" i="9" s="1"/>
  <c r="AI73" i="6"/>
  <c r="AI74" i="6" s="1"/>
  <c r="AI75" i="6" s="1"/>
  <c r="AI76" i="6" s="1"/>
  <c r="AI77" i="6" s="1"/>
  <c r="AI78" i="6" s="1"/>
  <c r="AI79" i="6" s="1"/>
  <c r="AI80" i="6" s="1"/>
  <c r="AI81" i="6" s="1"/>
  <c r="AI82" i="6" s="1"/>
  <c r="AI83" i="6" s="1"/>
  <c r="AI84" i="6" s="1"/>
  <c r="AI85" i="6" s="1"/>
  <c r="AI86" i="6" s="1"/>
  <c r="AI87" i="6" s="1"/>
  <c r="AI88" i="6" s="1"/>
  <c r="AI89" i="6" s="1"/>
  <c r="AI90" i="6" s="1"/>
  <c r="AI91" i="6" s="1"/>
  <c r="AI92" i="6" s="1"/>
  <c r="AI93" i="6" s="1"/>
  <c r="AI94" i="6" s="1"/>
  <c r="AI95" i="6" s="1"/>
  <c r="AI96" i="6" s="1"/>
  <c r="D68" i="6"/>
  <c r="D67" i="6"/>
  <c r="AD88" i="6" s="1"/>
  <c r="J21" i="6"/>
  <c r="J22" i="6"/>
  <c r="J23" i="6"/>
  <c r="J24" i="6"/>
  <c r="J25" i="6"/>
  <c r="J26" i="6"/>
  <c r="J27" i="6"/>
  <c r="J28" i="6"/>
  <c r="J29" i="6"/>
  <c r="J30" i="6"/>
  <c r="J31" i="6"/>
  <c r="J32" i="6"/>
  <c r="J33" i="6"/>
  <c r="J34" i="6"/>
  <c r="J35" i="6"/>
  <c r="J36" i="6"/>
  <c r="V19" i="9"/>
  <c r="BN22" i="9" l="1"/>
  <c r="BM22" i="9"/>
  <c r="BN21" i="9"/>
  <c r="BM21" i="9"/>
  <c r="AV21" i="9"/>
  <c r="AQ21" i="9"/>
  <c r="AJ81" i="9"/>
  <c r="AK81" i="9" s="1"/>
  <c r="AA105" i="6"/>
  <c r="AQ22" i="9"/>
  <c r="AV22" i="9"/>
  <c r="AP22" i="9"/>
  <c r="AU22" i="9"/>
  <c r="AO22" i="9"/>
  <c r="AT22" i="9"/>
  <c r="AN22" i="9"/>
  <c r="AS22" i="9"/>
  <c r="AR22" i="9"/>
  <c r="AW22" i="9"/>
  <c r="AR21" i="9"/>
  <c r="AW21" i="9"/>
  <c r="AO21" i="9"/>
  <c r="AT21" i="9"/>
  <c r="AN21" i="9"/>
  <c r="AS21" i="9"/>
  <c r="AP21" i="9"/>
  <c r="AU21" i="9"/>
  <c r="AF19" i="9"/>
  <c r="AM19" i="9"/>
  <c r="BL19" i="9" s="1"/>
  <c r="AX32" i="9"/>
  <c r="D99" i="9" s="1"/>
  <c r="BO22" i="9" l="1"/>
  <c r="BH19" i="9"/>
  <c r="BF19" i="9"/>
  <c r="BO21" i="9"/>
  <c r="BI19" i="9"/>
  <c r="BJ19" i="9"/>
  <c r="AG19" i="9"/>
  <c r="AN19" i="9" s="1"/>
  <c r="BG19" i="9"/>
  <c r="AH19" i="9"/>
  <c r="AT19" i="9" s="1"/>
  <c r="AI19" i="9"/>
  <c r="AZ19" i="9" s="1"/>
  <c r="AJ19" i="9"/>
  <c r="BA19" i="9" s="1"/>
  <c r="AK19" i="9"/>
  <c r="BB19" i="9" s="1"/>
  <c r="BM19" i="9" l="1"/>
  <c r="AS19" i="9"/>
  <c r="BN19" i="9"/>
  <c r="AO19" i="9"/>
  <c r="AY19" i="9"/>
  <c r="AQ19" i="9"/>
  <c r="AV19" i="9"/>
  <c r="AR19" i="9"/>
  <c r="AW19" i="9"/>
  <c r="AP19" i="9"/>
  <c r="AU19" i="9"/>
  <c r="AX19" i="9"/>
  <c r="BO19" i="9" l="1"/>
  <c r="C96" i="6"/>
  <c r="F68" i="6"/>
  <c r="F67" i="6"/>
  <c r="F71" i="6" l="1"/>
  <c r="F72" i="6" s="1"/>
  <c r="C101" i="6" l="1"/>
  <c r="C100" i="6"/>
  <c r="C97" i="6"/>
  <c r="C98" i="6" s="1"/>
  <c r="C80" i="6" l="1"/>
  <c r="C83" i="6"/>
  <c r="AF37" i="9" l="1"/>
  <c r="AF37" i="16"/>
  <c r="AF37" i="13"/>
  <c r="C81" i="6"/>
  <c r="AF37" i="14"/>
  <c r="AF37" i="15"/>
  <c r="E111" i="14"/>
  <c r="G111" i="14" s="1"/>
  <c r="E111" i="16"/>
  <c r="G111" i="16" s="1"/>
  <c r="E111" i="15"/>
  <c r="G111" i="15" s="1"/>
  <c r="E111" i="13"/>
  <c r="G111" i="13" s="1"/>
  <c r="E112" i="16"/>
  <c r="G112" i="16" s="1"/>
  <c r="E112" i="15"/>
  <c r="G112" i="15" s="1"/>
  <c r="E112" i="14"/>
  <c r="G112" i="14" s="1"/>
  <c r="E112" i="13"/>
  <c r="G112" i="13" s="1"/>
  <c r="E112" i="9"/>
  <c r="G112" i="9" s="1"/>
  <c r="C84" i="6"/>
  <c r="E111" i="9"/>
  <c r="G111" i="9" s="1"/>
  <c r="D90" i="9"/>
  <c r="S26" i="5"/>
  <c r="G84" i="9"/>
  <c r="G87" i="9"/>
  <c r="G88" i="9"/>
  <c r="G89" i="9"/>
  <c r="G91" i="9"/>
  <c r="D21" i="3" s="1"/>
  <c r="V40" i="9"/>
  <c r="X25" i="9"/>
  <c r="X26" i="9"/>
  <c r="X27" i="9"/>
  <c r="N20" i="9"/>
  <c r="X20" i="9" s="1"/>
  <c r="N21" i="9"/>
  <c r="X21" i="9" s="1"/>
  <c r="X22" i="9"/>
  <c r="N19" i="9"/>
  <c r="X19" i="9" s="1"/>
  <c r="L20" i="9"/>
  <c r="L21" i="9"/>
  <c r="L22" i="9"/>
  <c r="V26" i="9"/>
  <c r="W26" i="9"/>
  <c r="G98" i="9"/>
  <c r="D24" i="3" s="1"/>
  <c r="D78" i="9"/>
  <c r="D96" i="9" s="1"/>
  <c r="V46" i="9"/>
  <c r="Y40" i="9"/>
  <c r="W27" i="9"/>
  <c r="V27" i="9"/>
  <c r="W25" i="9"/>
  <c r="V25" i="9"/>
  <c r="AK147" i="9"/>
  <c r="AE20" i="9" s="1"/>
  <c r="W24" i="9"/>
  <c r="V24" i="9"/>
  <c r="W23" i="9"/>
  <c r="V23" i="9"/>
  <c r="W22" i="9"/>
  <c r="V22" i="9"/>
  <c r="W21" i="9"/>
  <c r="V21" i="9"/>
  <c r="W20" i="9"/>
  <c r="V20" i="9"/>
  <c r="W19" i="9"/>
  <c r="AK63" i="3" l="1"/>
  <c r="D17" i="3"/>
  <c r="D20" i="3"/>
  <c r="Y20" i="3" s="1"/>
  <c r="Y31" i="3" s="1"/>
  <c r="E117" i="9"/>
  <c r="G117" i="9" s="1"/>
  <c r="E117" i="16"/>
  <c r="G117" i="16" s="1"/>
  <c r="E117" i="15"/>
  <c r="G117" i="15" s="1"/>
  <c r="D90" i="14"/>
  <c r="E117" i="14"/>
  <c r="G117" i="14" s="1"/>
  <c r="D90" i="16"/>
  <c r="D90" i="15"/>
  <c r="E117" i="13"/>
  <c r="G117" i="13" s="1"/>
  <c r="D90" i="13"/>
  <c r="E116" i="9"/>
  <c r="G116" i="9" s="1"/>
  <c r="E116" i="14"/>
  <c r="G116" i="14" s="1"/>
  <c r="E116" i="16"/>
  <c r="G116" i="16" s="1"/>
  <c r="E116" i="15"/>
  <c r="G116" i="15" s="1"/>
  <c r="E116" i="13"/>
  <c r="G116" i="13" s="1"/>
  <c r="Z108" i="3"/>
  <c r="U84" i="9"/>
  <c r="D18" i="3"/>
  <c r="U89" i="9"/>
  <c r="U91" i="9"/>
  <c r="U87" i="9"/>
  <c r="V87" i="9"/>
  <c r="AI86" i="9"/>
  <c r="Y21" i="3"/>
  <c r="AI82" i="9"/>
  <c r="AI85" i="9"/>
  <c r="AI83" i="9"/>
  <c r="N23" i="9"/>
  <c r="X23" i="9" s="1"/>
  <c r="AF20" i="9"/>
  <c r="BH20" i="9" s="1"/>
  <c r="AM20" i="9"/>
  <c r="BL20" i="9" s="1"/>
  <c r="L23" i="9"/>
  <c r="AE23" i="9"/>
  <c r="AE24" i="9"/>
  <c r="N24" i="9"/>
  <c r="X24" i="9" s="1"/>
  <c r="L24" i="9"/>
  <c r="Y17" i="3" l="1"/>
  <c r="Y28" i="3" s="1"/>
  <c r="Z81" i="3"/>
  <c r="Z83" i="3"/>
  <c r="Y32" i="3"/>
  <c r="AK65" i="3"/>
  <c r="AJ39" i="9"/>
  <c r="AJ42" i="9"/>
  <c r="AI55" i="9" s="1"/>
  <c r="AJ55" i="9" s="1"/>
  <c r="AJ34" i="9"/>
  <c r="BG20" i="9"/>
  <c r="BF20" i="9"/>
  <c r="BI20" i="9"/>
  <c r="BJ20" i="9"/>
  <c r="G90" i="16"/>
  <c r="D93" i="16"/>
  <c r="G93" i="16" s="1"/>
  <c r="H80" i="16" s="1"/>
  <c r="M15" i="3" s="1"/>
  <c r="G90" i="14"/>
  <c r="D93" i="14"/>
  <c r="G93" i="14" s="1"/>
  <c r="H80" i="14" s="1"/>
  <c r="I15" i="3" s="1"/>
  <c r="G90" i="15"/>
  <c r="D93" i="15"/>
  <c r="G93" i="15" s="1"/>
  <c r="H80" i="15" s="1"/>
  <c r="K15" i="3" s="1"/>
  <c r="G90" i="13"/>
  <c r="D93" i="13"/>
  <c r="G93" i="13" s="1"/>
  <c r="D93" i="9"/>
  <c r="G93" i="9" s="1"/>
  <c r="H80" i="9" s="1"/>
  <c r="E15" i="3" s="1"/>
  <c r="Y18" i="3"/>
  <c r="AJ40" i="9"/>
  <c r="AJ53" i="9" s="1"/>
  <c r="AJ35" i="9"/>
  <c r="AJ41" i="9"/>
  <c r="AJ38" i="9"/>
  <c r="AJ52" i="9" s="1"/>
  <c r="AJ37" i="9"/>
  <c r="AJ36" i="9"/>
  <c r="AJ51" i="9" s="1"/>
  <c r="AJ43" i="9"/>
  <c r="G90" i="9"/>
  <c r="H87" i="9"/>
  <c r="E20" i="3" s="1"/>
  <c r="AJ85" i="9"/>
  <c r="AK85" i="9" s="1"/>
  <c r="AH20" i="9"/>
  <c r="AI20" i="9"/>
  <c r="AJ20" i="9"/>
  <c r="AK20" i="9"/>
  <c r="AG20" i="9"/>
  <c r="AF24" i="9"/>
  <c r="BH24" i="9" s="1"/>
  <c r="AM24" i="9"/>
  <c r="BL24" i="9" s="1"/>
  <c r="AF23" i="9"/>
  <c r="BH23" i="9" s="1"/>
  <c r="AM23" i="9"/>
  <c r="BL23" i="9" s="1"/>
  <c r="R26" i="5"/>
  <c r="Q26" i="5"/>
  <c r="Y29" i="3" l="1"/>
  <c r="AK61" i="3"/>
  <c r="AK72" i="3" s="1"/>
  <c r="H80" i="13"/>
  <c r="G15" i="3" s="1"/>
  <c r="AJ48" i="9"/>
  <c r="AI58" i="9" s="1"/>
  <c r="F23" i="5"/>
  <c r="F20" i="5"/>
  <c r="AI50" i="9"/>
  <c r="AJ50" i="9" s="1"/>
  <c r="BN20" i="9"/>
  <c r="BM20" i="9"/>
  <c r="BF23" i="9"/>
  <c r="BI23" i="9"/>
  <c r="BG23" i="9"/>
  <c r="BJ23" i="9"/>
  <c r="BI24" i="9"/>
  <c r="BJ24" i="9"/>
  <c r="BF24" i="9"/>
  <c r="BG24" i="9"/>
  <c r="U90" i="15"/>
  <c r="U93" i="15" s="1"/>
  <c r="H93" i="15" s="1"/>
  <c r="K22" i="3" s="1"/>
  <c r="H90" i="15"/>
  <c r="K19" i="3" s="1"/>
  <c r="AI84" i="15"/>
  <c r="J19" i="3"/>
  <c r="F19" i="3"/>
  <c r="Z19" i="3" s="1"/>
  <c r="AL64" i="3" s="1"/>
  <c r="AL73" i="3" s="1"/>
  <c r="AL74" i="3" s="1"/>
  <c r="AL75" i="3" s="1"/>
  <c r="AL76" i="3" s="1"/>
  <c r="AL77" i="3" s="1"/>
  <c r="AL78" i="3" s="1"/>
  <c r="AL79" i="3" s="1"/>
  <c r="AL80" i="3" s="1"/>
  <c r="AL81" i="3" s="1"/>
  <c r="AL82" i="3" s="1"/>
  <c r="AL83" i="3" s="1"/>
  <c r="AL84" i="3" s="1"/>
  <c r="AL85" i="3" s="1"/>
  <c r="AL86" i="3" s="1"/>
  <c r="AL87" i="3" s="1"/>
  <c r="AL88" i="3" s="1"/>
  <c r="AL89" i="3" s="1"/>
  <c r="AL90" i="3" s="1"/>
  <c r="AL91" i="3" s="1"/>
  <c r="AL92" i="3" s="1"/>
  <c r="AL93" i="3" s="1"/>
  <c r="AL94" i="3" s="1"/>
  <c r="AL95" i="3" s="1"/>
  <c r="AL96" i="3" s="1"/>
  <c r="AL97" i="3" s="1"/>
  <c r="AL98" i="3" s="1"/>
  <c r="AL99" i="3" s="1"/>
  <c r="AL100" i="3" s="1"/>
  <c r="AL101" i="3" s="1"/>
  <c r="AL102" i="3" s="1"/>
  <c r="AL103" i="3" s="1"/>
  <c r="AL104" i="3" s="1"/>
  <c r="AL105" i="3" s="1"/>
  <c r="AL106" i="3" s="1"/>
  <c r="AL107" i="3" s="1"/>
  <c r="AL108" i="3" s="1"/>
  <c r="AL109" i="3" s="1"/>
  <c r="AL110" i="3" s="1"/>
  <c r="AL111" i="3" s="1"/>
  <c r="AL112" i="3" s="1"/>
  <c r="AL113" i="3" s="1"/>
  <c r="AL114" i="3" s="1"/>
  <c r="AL115" i="3" s="1"/>
  <c r="AL116" i="3" s="1"/>
  <c r="AL117" i="3" s="1"/>
  <c r="AL118" i="3" s="1"/>
  <c r="AL119" i="3" s="1"/>
  <c r="AL120" i="3" s="1"/>
  <c r="AL121" i="3" s="1"/>
  <c r="AL122" i="3" s="1"/>
  <c r="AL123" i="3" s="1"/>
  <c r="U90" i="13"/>
  <c r="U93" i="13" s="1"/>
  <c r="H93" i="13" s="1"/>
  <c r="G22" i="3" s="1"/>
  <c r="AI84" i="13"/>
  <c r="H90" i="13"/>
  <c r="G19" i="3" s="1"/>
  <c r="H19" i="3"/>
  <c r="AA19" i="3" s="1"/>
  <c r="AM64" i="3" s="1"/>
  <c r="H90" i="14"/>
  <c r="I19" i="3" s="1"/>
  <c r="AI84" i="14"/>
  <c r="U90" i="14"/>
  <c r="U93" i="14" s="1"/>
  <c r="H93" i="14" s="1"/>
  <c r="I22" i="3" s="1"/>
  <c r="AI84" i="16"/>
  <c r="L19" i="3"/>
  <c r="U90" i="16"/>
  <c r="U93" i="16" s="1"/>
  <c r="H93" i="16" s="1"/>
  <c r="M22" i="3" s="1"/>
  <c r="H90" i="16"/>
  <c r="M19" i="3" s="1"/>
  <c r="AI53" i="9"/>
  <c r="D19" i="3"/>
  <c r="D22" i="3" s="1"/>
  <c r="U90" i="9"/>
  <c r="U93" i="9" s="1"/>
  <c r="H90" i="9"/>
  <c r="E19" i="3" s="1"/>
  <c r="AI84" i="9"/>
  <c r="AK84" i="9" s="1"/>
  <c r="AI54" i="9"/>
  <c r="AJ54" i="9" s="1"/>
  <c r="AI52" i="9"/>
  <c r="AI51" i="9"/>
  <c r="AS20" i="9"/>
  <c r="AX20" i="9"/>
  <c r="AW20" i="9"/>
  <c r="BB20" i="9"/>
  <c r="AV20" i="9"/>
  <c r="BA20" i="9"/>
  <c r="AU20" i="9"/>
  <c r="AZ20" i="9"/>
  <c r="AT20" i="9"/>
  <c r="AY20" i="9"/>
  <c r="AN20" i="9"/>
  <c r="AR20" i="9"/>
  <c r="AQ20" i="9"/>
  <c r="AP20" i="9"/>
  <c r="AO20" i="9"/>
  <c r="AH23" i="9"/>
  <c r="AY23" i="9" s="1"/>
  <c r="AK23" i="9"/>
  <c r="BB23" i="9" s="1"/>
  <c r="AJ23" i="9"/>
  <c r="BA23" i="9" s="1"/>
  <c r="AI23" i="9"/>
  <c r="AZ23" i="9" s="1"/>
  <c r="AG23" i="9"/>
  <c r="AX23" i="9" s="1"/>
  <c r="AI24" i="9"/>
  <c r="AH24" i="9"/>
  <c r="AJ24" i="9"/>
  <c r="AK24" i="9"/>
  <c r="AG24" i="9"/>
  <c r="F24" i="5"/>
  <c r="F22" i="5"/>
  <c r="F21" i="5"/>
  <c r="B18" i="5"/>
  <c r="X25" i="3"/>
  <c r="X14" i="3"/>
  <c r="X45" i="3"/>
  <c r="X46" i="3"/>
  <c r="X47" i="3"/>
  <c r="X48" i="3"/>
  <c r="X49" i="3"/>
  <c r="X44" i="3"/>
  <c r="X28" i="3"/>
  <c r="X29" i="3"/>
  <c r="X30" i="3"/>
  <c r="X31" i="3"/>
  <c r="X32" i="3"/>
  <c r="X27" i="3"/>
  <c r="C22" i="3"/>
  <c r="AM73" i="3" l="1"/>
  <c r="AM74" i="3" s="1"/>
  <c r="AM75" i="3" s="1"/>
  <c r="AM76" i="3" s="1"/>
  <c r="AM77" i="3" s="1"/>
  <c r="AM78" i="3" s="1"/>
  <c r="AM79" i="3" s="1"/>
  <c r="AM80" i="3" s="1"/>
  <c r="AM81" i="3" s="1"/>
  <c r="AM82" i="3" s="1"/>
  <c r="AM83" i="3" s="1"/>
  <c r="AM84" i="3" s="1"/>
  <c r="AM85" i="3" s="1"/>
  <c r="AM86" i="3" s="1"/>
  <c r="AM87" i="3" s="1"/>
  <c r="AM88" i="3" s="1"/>
  <c r="AM89" i="3" s="1"/>
  <c r="AM90" i="3" s="1"/>
  <c r="AM91" i="3" s="1"/>
  <c r="AM92" i="3" s="1"/>
  <c r="AM93" i="3" s="1"/>
  <c r="AM94" i="3" s="1"/>
  <c r="AM95" i="3" s="1"/>
  <c r="AM96" i="3" s="1"/>
  <c r="AM97" i="3" s="1"/>
  <c r="AM98" i="3" s="1"/>
  <c r="AM99" i="3" s="1"/>
  <c r="AM100" i="3" s="1"/>
  <c r="AM101" i="3" s="1"/>
  <c r="AM102" i="3" s="1"/>
  <c r="AM103" i="3" s="1"/>
  <c r="AM104" i="3" s="1"/>
  <c r="AM105" i="3" s="1"/>
  <c r="AM106" i="3" s="1"/>
  <c r="AM107" i="3" s="1"/>
  <c r="AM108" i="3" s="1"/>
  <c r="AM109" i="3" s="1"/>
  <c r="AM110" i="3" s="1"/>
  <c r="AM111" i="3" s="1"/>
  <c r="AM112" i="3" s="1"/>
  <c r="AM113" i="3" s="1"/>
  <c r="AM114" i="3" s="1"/>
  <c r="AM115" i="3" s="1"/>
  <c r="AM116" i="3" s="1"/>
  <c r="AM117" i="3" s="1"/>
  <c r="AM118" i="3" s="1"/>
  <c r="AM119" i="3" s="1"/>
  <c r="AM120" i="3" s="1"/>
  <c r="AM121" i="3" s="1"/>
  <c r="AM122" i="3" s="1"/>
  <c r="AM123" i="3" s="1"/>
  <c r="AM125" i="3" s="1"/>
  <c r="AL125" i="3"/>
  <c r="AM67" i="3"/>
  <c r="AL67" i="3"/>
  <c r="D30" i="3"/>
  <c r="AA30" i="3"/>
  <c r="Z30" i="3"/>
  <c r="BO20" i="9"/>
  <c r="BN24" i="9"/>
  <c r="BM24" i="9"/>
  <c r="BN23" i="9"/>
  <c r="BM23" i="9"/>
  <c r="AI87" i="14"/>
  <c r="AK84" i="14"/>
  <c r="AK84" i="13"/>
  <c r="AI87" i="13"/>
  <c r="AK84" i="15"/>
  <c r="AI87" i="15"/>
  <c r="AK84" i="16"/>
  <c r="AI87" i="16"/>
  <c r="Y19" i="3"/>
  <c r="Y22" i="3" s="1"/>
  <c r="AI56" i="9"/>
  <c r="AJ56" i="9" s="1"/>
  <c r="AI57" i="9" s="1"/>
  <c r="D31" i="3" s="1"/>
  <c r="Y42" i="3"/>
  <c r="Y45" i="3" s="1"/>
  <c r="AI87" i="9"/>
  <c r="BB24" i="9"/>
  <c r="AR24" i="9"/>
  <c r="AY24" i="9"/>
  <c r="AO24" i="9"/>
  <c r="AZ24" i="9"/>
  <c r="AP24" i="9"/>
  <c r="AQ24" i="9"/>
  <c r="BA24" i="9"/>
  <c r="AN24" i="9"/>
  <c r="AX24" i="9"/>
  <c r="AS24" i="9"/>
  <c r="AV24" i="9"/>
  <c r="AR23" i="9"/>
  <c r="AW23" i="9"/>
  <c r="AT24" i="9"/>
  <c r="AO23" i="9"/>
  <c r="AT23" i="9"/>
  <c r="AU24" i="9"/>
  <c r="AQ23" i="9"/>
  <c r="AV23" i="9"/>
  <c r="AW24" i="9"/>
  <c r="AN23" i="9"/>
  <c r="AS23" i="9"/>
  <c r="AP23" i="9"/>
  <c r="AU23" i="9"/>
  <c r="H22" i="3"/>
  <c r="H30" i="3" s="1"/>
  <c r="F22" i="3"/>
  <c r="F30" i="3" s="1"/>
  <c r="AM126" i="3" l="1"/>
  <c r="AL126" i="3"/>
  <c r="AM66" i="3"/>
  <c r="AL66" i="3"/>
  <c r="Y30" i="3"/>
  <c r="AK64" i="3"/>
  <c r="AL56" i="3"/>
  <c r="AM56" i="3"/>
  <c r="V80" i="9"/>
  <c r="AJ80" i="9" s="1"/>
  <c r="AK80" i="9" s="1"/>
  <c r="BO24" i="9"/>
  <c r="BO23" i="9"/>
  <c r="V82" i="9"/>
  <c r="Y49" i="3"/>
  <c r="Y44" i="3"/>
  <c r="F29" i="3"/>
  <c r="F28" i="3"/>
  <c r="Z22" i="3"/>
  <c r="H28" i="3"/>
  <c r="H29" i="3"/>
  <c r="AA22" i="3"/>
  <c r="Y48" i="3"/>
  <c r="Z46" i="3"/>
  <c r="Z49" i="3"/>
  <c r="Z45" i="3"/>
  <c r="Z47" i="3"/>
  <c r="Z48" i="3"/>
  <c r="Z44" i="3"/>
  <c r="Y47" i="3"/>
  <c r="AA48" i="3"/>
  <c r="AA46" i="3"/>
  <c r="AA49" i="3"/>
  <c r="AA47" i="3"/>
  <c r="AA45" i="3"/>
  <c r="AA44" i="3"/>
  <c r="Y46" i="3"/>
  <c r="AB49" i="3"/>
  <c r="AB48" i="3"/>
  <c r="AC48" i="3"/>
  <c r="AC49" i="3"/>
  <c r="AC16" i="3"/>
  <c r="AO60" i="3" s="1"/>
  <c r="AB16" i="3"/>
  <c r="AN60" i="3" s="1"/>
  <c r="AC19" i="3"/>
  <c r="AO64" i="3" s="1"/>
  <c r="AB19" i="3"/>
  <c r="AN64" i="3" s="1"/>
  <c r="AC18" i="3"/>
  <c r="AO61" i="3" s="1"/>
  <c r="AB18" i="3"/>
  <c r="AN61" i="3" s="1"/>
  <c r="AC17" i="3"/>
  <c r="AB17" i="3"/>
  <c r="D29" i="3"/>
  <c r="D28" i="3"/>
  <c r="V91" i="9"/>
  <c r="H91" i="9" s="1"/>
  <c r="E21" i="3" s="1"/>
  <c r="AW26" i="9"/>
  <c r="AO26" i="9"/>
  <c r="V83" i="9"/>
  <c r="AN26" i="9"/>
  <c r="AP26" i="9"/>
  <c r="V89" i="9"/>
  <c r="H89" i="9" s="1"/>
  <c r="V84" i="9"/>
  <c r="Q18" i="3" s="1"/>
  <c r="E18" i="3" s="1"/>
  <c r="AQ26" i="9"/>
  <c r="AZ26" i="9"/>
  <c r="AZ33" i="9" s="1"/>
  <c r="AT26" i="9"/>
  <c r="AX26" i="9"/>
  <c r="AX33" i="9" s="1"/>
  <c r="AR26" i="9"/>
  <c r="BB26" i="9"/>
  <c r="AV26" i="9"/>
  <c r="BA26" i="9"/>
  <c r="BA33" i="9" s="1"/>
  <c r="AU26" i="9"/>
  <c r="AY26" i="9"/>
  <c r="AY33" i="9" s="1"/>
  <c r="AS26" i="9"/>
  <c r="J22" i="3"/>
  <c r="J30" i="3" s="1"/>
  <c r="AO72" i="3" l="1"/>
  <c r="AO73" i="3" s="1"/>
  <c r="AO74" i="3" s="1"/>
  <c r="AO75" i="3" s="1"/>
  <c r="AO76" i="3" s="1"/>
  <c r="AO77" i="3" s="1"/>
  <c r="AO78" i="3" s="1"/>
  <c r="AO79" i="3" s="1"/>
  <c r="AO80" i="3" s="1"/>
  <c r="AO81" i="3" s="1"/>
  <c r="AO82" i="3" s="1"/>
  <c r="AO83" i="3" s="1"/>
  <c r="AO84" i="3" s="1"/>
  <c r="AO85" i="3" s="1"/>
  <c r="AO86" i="3" s="1"/>
  <c r="AO87" i="3" s="1"/>
  <c r="AO88" i="3" s="1"/>
  <c r="AO89" i="3" s="1"/>
  <c r="AO90" i="3" s="1"/>
  <c r="AO91" i="3" s="1"/>
  <c r="AO92" i="3" s="1"/>
  <c r="AO93" i="3" s="1"/>
  <c r="AO94" i="3" s="1"/>
  <c r="AO95" i="3" s="1"/>
  <c r="AO96" i="3" s="1"/>
  <c r="AO97" i="3" s="1"/>
  <c r="AO98" i="3" s="1"/>
  <c r="AO99" i="3" s="1"/>
  <c r="AO100" i="3" s="1"/>
  <c r="AO101" i="3" s="1"/>
  <c r="AO102" i="3" s="1"/>
  <c r="AO103" i="3" s="1"/>
  <c r="AO104" i="3" s="1"/>
  <c r="AO105" i="3" s="1"/>
  <c r="AO106" i="3" s="1"/>
  <c r="AO107" i="3" s="1"/>
  <c r="AO108" i="3" s="1"/>
  <c r="AO109" i="3" s="1"/>
  <c r="AO110" i="3" s="1"/>
  <c r="AO111" i="3" s="1"/>
  <c r="AO112" i="3" s="1"/>
  <c r="AO113" i="3" s="1"/>
  <c r="AO114" i="3" s="1"/>
  <c r="AO115" i="3" s="1"/>
  <c r="AO116" i="3" s="1"/>
  <c r="AO117" i="3" s="1"/>
  <c r="AO118" i="3" s="1"/>
  <c r="AO119" i="3" s="1"/>
  <c r="AO120" i="3" s="1"/>
  <c r="AO121" i="3" s="1"/>
  <c r="AO122" i="3" s="1"/>
  <c r="AO123" i="3" s="1"/>
  <c r="AO125" i="3" s="1"/>
  <c r="AO126" i="3" s="1"/>
  <c r="AN72" i="3"/>
  <c r="AN73" i="3" s="1"/>
  <c r="AN74" i="3" s="1"/>
  <c r="AN75" i="3" s="1"/>
  <c r="AN76" i="3" s="1"/>
  <c r="AN77" i="3" s="1"/>
  <c r="AN78" i="3" s="1"/>
  <c r="AN79" i="3" s="1"/>
  <c r="AN80" i="3" s="1"/>
  <c r="AN81" i="3" s="1"/>
  <c r="AN82" i="3" s="1"/>
  <c r="AN83" i="3" s="1"/>
  <c r="AN84" i="3" s="1"/>
  <c r="AN85" i="3" s="1"/>
  <c r="AN86" i="3" s="1"/>
  <c r="AN87" i="3" s="1"/>
  <c r="AN88" i="3" s="1"/>
  <c r="AN89" i="3" s="1"/>
  <c r="AN90" i="3" s="1"/>
  <c r="AN91" i="3" s="1"/>
  <c r="AN92" i="3" s="1"/>
  <c r="AN93" i="3" s="1"/>
  <c r="AN94" i="3" s="1"/>
  <c r="AN95" i="3" s="1"/>
  <c r="AN96" i="3" s="1"/>
  <c r="AN97" i="3" s="1"/>
  <c r="AN98" i="3" s="1"/>
  <c r="AN99" i="3" s="1"/>
  <c r="AN100" i="3" s="1"/>
  <c r="AN101" i="3" s="1"/>
  <c r="AN102" i="3" s="1"/>
  <c r="AN103" i="3" s="1"/>
  <c r="AN104" i="3" s="1"/>
  <c r="AN105" i="3" s="1"/>
  <c r="AN106" i="3" s="1"/>
  <c r="AN107" i="3" s="1"/>
  <c r="AN108" i="3" s="1"/>
  <c r="AN109" i="3" s="1"/>
  <c r="AN110" i="3" s="1"/>
  <c r="AN111" i="3" s="1"/>
  <c r="AN112" i="3" s="1"/>
  <c r="AN113" i="3" s="1"/>
  <c r="AN114" i="3" s="1"/>
  <c r="AN115" i="3" s="1"/>
  <c r="AN116" i="3" s="1"/>
  <c r="AN117" i="3" s="1"/>
  <c r="AN118" i="3" s="1"/>
  <c r="AN119" i="3" s="1"/>
  <c r="AN120" i="3" s="1"/>
  <c r="AN121" i="3" s="1"/>
  <c r="AN122" i="3" s="1"/>
  <c r="AN123" i="3" s="1"/>
  <c r="AN125" i="3" s="1"/>
  <c r="AK66" i="3"/>
  <c r="AK67" i="3"/>
  <c r="AK56" i="3" s="1"/>
  <c r="AK73" i="3"/>
  <c r="AK74" i="3" s="1"/>
  <c r="AK75" i="3" s="1"/>
  <c r="AK76" i="3" s="1"/>
  <c r="AK77" i="3" s="1"/>
  <c r="AK78" i="3" s="1"/>
  <c r="AK79" i="3" s="1"/>
  <c r="AK80" i="3" s="1"/>
  <c r="AK81" i="3" s="1"/>
  <c r="AK82" i="3" s="1"/>
  <c r="AK83" i="3" s="1"/>
  <c r="AK84" i="3" s="1"/>
  <c r="AK85" i="3" s="1"/>
  <c r="AK86" i="3" s="1"/>
  <c r="AK87" i="3" s="1"/>
  <c r="AK88" i="3" s="1"/>
  <c r="AK89" i="3" s="1"/>
  <c r="AK90" i="3" s="1"/>
  <c r="AK91" i="3" s="1"/>
  <c r="AK92" i="3" s="1"/>
  <c r="AK93" i="3" s="1"/>
  <c r="AK94" i="3" s="1"/>
  <c r="AK95" i="3" s="1"/>
  <c r="AK96" i="3" s="1"/>
  <c r="AK97" i="3" s="1"/>
  <c r="AK98" i="3" s="1"/>
  <c r="AK99" i="3" s="1"/>
  <c r="AK100" i="3" s="1"/>
  <c r="AK101" i="3" s="1"/>
  <c r="AK102" i="3" s="1"/>
  <c r="AK103" i="3" s="1"/>
  <c r="AK104" i="3" s="1"/>
  <c r="AK105" i="3" s="1"/>
  <c r="AK106" i="3" s="1"/>
  <c r="AK107" i="3" s="1"/>
  <c r="AK108" i="3" s="1"/>
  <c r="AK109" i="3" s="1"/>
  <c r="AK110" i="3" s="1"/>
  <c r="AK111" i="3" s="1"/>
  <c r="AK112" i="3" s="1"/>
  <c r="AK113" i="3" s="1"/>
  <c r="AK114" i="3" s="1"/>
  <c r="AK115" i="3" s="1"/>
  <c r="AK116" i="3" s="1"/>
  <c r="AK117" i="3" s="1"/>
  <c r="AK118" i="3" s="1"/>
  <c r="AK119" i="3" s="1"/>
  <c r="AK120" i="3" s="1"/>
  <c r="AK121" i="3" s="1"/>
  <c r="AK122" i="3" s="1"/>
  <c r="AK123" i="3" s="1"/>
  <c r="AK125" i="3" s="1"/>
  <c r="AK126" i="3" s="1"/>
  <c r="AN66" i="3"/>
  <c r="AN67" i="3"/>
  <c r="AO67" i="3"/>
  <c r="AA82" i="9"/>
  <c r="Z70" i="3" s="1"/>
  <c r="Y73" i="3" s="1"/>
  <c r="Y107" i="3" s="1"/>
  <c r="Q17" i="3"/>
  <c r="E17" i="3" s="1"/>
  <c r="H83" i="9"/>
  <c r="AJ82" i="9"/>
  <c r="AK82" i="9" s="1"/>
  <c r="H82" i="9"/>
  <c r="J29" i="3"/>
  <c r="J28" i="3"/>
  <c r="AB27" i="3"/>
  <c r="AB44" i="3"/>
  <c r="AC44" i="3"/>
  <c r="AC27" i="3"/>
  <c r="L22" i="3"/>
  <c r="L30" i="3" s="1"/>
  <c r="H84" i="9"/>
  <c r="AB47" i="3"/>
  <c r="AB30" i="3"/>
  <c r="AC47" i="3"/>
  <c r="AC30" i="3"/>
  <c r="AB29" i="3"/>
  <c r="AB46" i="3"/>
  <c r="AC46" i="3"/>
  <c r="AC29" i="3"/>
  <c r="AB28" i="3"/>
  <c r="AB45" i="3"/>
  <c r="AB22" i="3"/>
  <c r="AC45" i="3"/>
  <c r="AC28" i="3"/>
  <c r="F99" i="9"/>
  <c r="G99" i="9" s="1"/>
  <c r="V93" i="9"/>
  <c r="H93" i="9" s="1"/>
  <c r="E22" i="3" s="1"/>
  <c r="AJ83" i="9"/>
  <c r="AJ86" i="9"/>
  <c r="AK86" i="9" s="1"/>
  <c r="AN126" i="3" l="1"/>
  <c r="AO66" i="3"/>
  <c r="AO56" i="3"/>
  <c r="AN56" i="3"/>
  <c r="D25" i="3"/>
  <c r="AC22" i="3"/>
  <c r="L29" i="3"/>
  <c r="L28" i="3"/>
  <c r="AK83" i="9"/>
  <c r="Y83" i="3" l="1"/>
  <c r="Y75" i="3" s="1"/>
  <c r="Y103" i="3"/>
  <c r="Y110" i="3" s="1"/>
  <c r="Y74" i="3" l="1"/>
  <c r="Y92" i="3"/>
  <c r="Y90" i="3"/>
  <c r="Y88" i="3"/>
  <c r="Y82" i="3"/>
  <c r="Y78" i="3"/>
  <c r="Y109" i="3"/>
  <c r="Y76" i="3"/>
  <c r="Y79" i="3"/>
  <c r="Y77" i="3"/>
  <c r="Y80" i="3"/>
  <c r="Y81" i="3"/>
  <c r="Y99" i="3"/>
  <c r="Y87" i="3"/>
  <c r="Y86" i="3"/>
  <c r="Y101" i="3"/>
  <c r="Y102" i="3"/>
  <c r="Y93" i="3"/>
  <c r="Y89" i="3"/>
  <c r="Y85" i="3"/>
  <c r="Y100" i="3"/>
  <c r="Y98" i="3"/>
  <c r="Y96" i="3"/>
  <c r="Y97" i="3"/>
  <c r="Y84" i="3"/>
  <c r="Y95" i="3"/>
  <c r="Y91" i="3"/>
  <c r="Y94" i="3"/>
  <c r="Y108"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Oddbjørn Dahlstrøm Andvik</author>
  </authors>
  <commentList>
    <comment ref="C17" authorId="0" shapeId="0" xr:uid="{0CA064B7-2D60-43F6-B0BF-6E13BD1EC2EB}">
      <text>
        <r>
          <rPr>
            <b/>
            <sz val="9"/>
            <color indexed="81"/>
            <rFont val="Tahoma"/>
            <family val="2"/>
          </rPr>
          <t>Omfatter bygningsdelsnummer 2, i henhold til NS 3451</t>
        </r>
        <r>
          <rPr>
            <sz val="9"/>
            <color indexed="81"/>
            <rFont val="Tahoma"/>
            <family val="2"/>
          </rPr>
          <t xml:space="preserve">
 21 Grunn og fundament
 22 Bæresystem
 23 Yttervegger 
 24 Innervegger 
 25 Gulv på grunn, dekker og overflater 
 26 Yttertak 
 28 Trapp, heis og balkonger
 Materialer som inngår i lokalt energiproduksjonsutstyr som ikke er dekket av NS 3451 (eksempel: sol, energibrønn)</t>
        </r>
      </text>
    </comment>
    <comment ref="C20" authorId="0" shapeId="0" xr:uid="{4FF610C5-4011-428E-A2EE-D620C8249EEF}">
      <text>
        <r>
          <rPr>
            <sz val="9"/>
            <color indexed="81"/>
            <rFont val="Tahoma"/>
            <family val="2"/>
          </rPr>
          <t>Klimagassutslipp fra arealbruksendringer (A5, B1) er utslipp og opptak av biogent karbon.</t>
        </r>
      </text>
    </comment>
    <comment ref="C25" authorId="0" shapeId="0" xr:uid="{83400067-AF63-4974-8455-9D46D523C8AD}">
      <text>
        <r>
          <rPr>
            <sz val="9"/>
            <color indexed="81"/>
            <rFont val="Tahoma"/>
            <family val="2"/>
          </rPr>
          <t xml:space="preserve">Beskirvelse: Dette er teoretisk utslipp som er "igjen" av bygget basert på en 50 års beregningsperiode. Eksempel: Et bygg har et beregnet klimautslipp A1-A4 på 100 tonn CO2 e, 50 års beregningsperiode. Rives bygget 20 år etter oppfrøing "gjenstår" 30 år med utslipp fra bygget. Restutslipp bygg som rives er da beregnet slik: 100 tonn CO2 e / 50 år beregningsperiode * 30 år restlevetid = 60 tonn CO2 ekv. 
</t>
        </r>
      </text>
    </comment>
    <comment ref="Z71" authorId="0" shapeId="0" xr:uid="{5FDD1F59-2AFF-42F8-A1D6-2F3A1B9157FC}">
      <text>
        <r>
          <rPr>
            <b/>
            <sz val="9"/>
            <color indexed="81"/>
            <rFont val="Tahoma"/>
            <family val="2"/>
          </rPr>
          <t>Omfatter bygningsdelsnummer 2, i henhold til NS 3451</t>
        </r>
        <r>
          <rPr>
            <sz val="9"/>
            <color indexed="81"/>
            <rFont val="Tahoma"/>
            <family val="2"/>
          </rPr>
          <t xml:space="preserve">
 21 Grunn og fundament
 22 Bæresystem
 23 Yttervegger 
 24 Innervegger 
 25 Gulv på grunn, dekker og overflater 
 26 Yttertak 
 28 Trapp, heis og balkonger
 Materialer som inngår i lokalt energiproduksjonsutstyr som ikke er dekket av NS 3451 (eksempel: sol, energibrønn)</t>
        </r>
      </text>
    </comment>
    <comment ref="Z105" authorId="0" shapeId="0" xr:uid="{BF1177D9-A2DE-464E-BE95-73A68521AD68}">
      <text>
        <r>
          <rPr>
            <b/>
            <sz val="9"/>
            <color indexed="81"/>
            <rFont val="Tahoma"/>
            <family val="2"/>
          </rPr>
          <t>Omfatter bygningsdelsnummer 2, i henhold til NS 3451</t>
        </r>
        <r>
          <rPr>
            <sz val="9"/>
            <color indexed="81"/>
            <rFont val="Tahoma"/>
            <family val="2"/>
          </rPr>
          <t xml:space="preserve">
 21 Grunn og fundament
 22 Bæresystem
 23 Yttervegger 
 24 Innervegger 
 25 Gulv på grunn, dekker og overflater 
 26 Yttertak 
 28 Trapp, heis og balkonger
 Materialer som inngår i lokalt energiproduksjonsutstyr som ikke er dekket av NS 3451 (eksempel: sol, energibrønn)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Oddbjørn Dahlstrøm Andvik</author>
  </authors>
  <commentList>
    <comment ref="B25" authorId="0" shapeId="0" xr:uid="{6C90AD25-DF57-4A71-8C81-6DECF736AB78}">
      <text>
        <r>
          <rPr>
            <sz val="9"/>
            <color indexed="81"/>
            <rFont val="Tahoma"/>
            <family val="2"/>
          </rPr>
          <t>Klimagassregnskapet skal ikke inkludere biogent karbon.</t>
        </r>
      </text>
    </comment>
    <comment ref="S39" authorId="0" shapeId="0" xr:uid="{2A18024F-C2EA-4A0D-8C6B-F5C2F76DE7FE}">
      <text>
        <r>
          <rPr>
            <sz val="9"/>
            <color indexed="81"/>
            <rFont val="Tahoma"/>
            <family val="2"/>
          </rPr>
          <t>Ikke obligatorisk med ekstern rapport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Oddbjørn Dahlstrøm Andvik</author>
  </authors>
  <commentList>
    <comment ref="C8" authorId="0" shapeId="0" xr:uid="{FA9A2343-01D1-4B6F-9BD3-163CEDDCA3C0}">
      <text>
        <r>
          <rPr>
            <sz val="9"/>
            <color indexed="81"/>
            <rFont val="Tahoma"/>
            <family val="2"/>
          </rPr>
          <t>Beskriv hvilke tiltak som skal gjøres for utslippsreduksjon i forbindelse med riving og/eller bevaring av eksisterende bebyggelse.</t>
        </r>
      </text>
    </comment>
    <comment ref="C9" authorId="0" shapeId="0" xr:uid="{B40708AC-5A85-4F9D-95BF-7822A3861258}">
      <text>
        <r>
          <rPr>
            <sz val="9"/>
            <color indexed="81"/>
            <rFont val="Tahoma"/>
            <family val="2"/>
          </rPr>
          <t>Beskriv hvilke tiltak som skal gjøres for å redusere utslipp fra materialbruk, herunder gjenbruk av byggematerialer og valg av lavutslippsmateriale.</t>
        </r>
      </text>
    </comment>
    <comment ref="C10" authorId="0" shapeId="0" xr:uid="{2F5E1AD3-EC72-40D9-A5FC-26DCB17FD565}">
      <text>
        <r>
          <rPr>
            <sz val="9"/>
            <color indexed="81"/>
            <rFont val="Tahoma"/>
            <family val="2"/>
          </rPr>
          <t>Beskriv hvilke tiltak som skal gjøres for å redusere energibehov, herunder bruk av lavutslipps energiløsninger i prosjektet.</t>
        </r>
      </text>
    </comment>
    <comment ref="C11" authorId="0" shapeId="0" xr:uid="{33A66414-2D36-48BA-8349-D4BC28E5C06B}">
      <text>
        <r>
          <rPr>
            <sz val="9"/>
            <color indexed="81"/>
            <rFont val="Tahoma"/>
            <family val="2"/>
          </rPr>
          <t>Beskriv hvilke tiltak som skal gjøres for å redusere utslippene i bygge- og anleggsperioden.</t>
        </r>
      </text>
    </comment>
    <comment ref="G17" authorId="0" shapeId="0" xr:uid="{66E56969-0876-4DC1-8FF1-88F27EC52619}">
      <text>
        <r>
          <rPr>
            <sz val="9"/>
            <color indexed="81"/>
            <rFont val="Tahoma"/>
            <family val="2"/>
          </rPr>
          <t>Areal som tastes inn er areal etter en eventuell rehabilitering</t>
        </r>
      </text>
    </comment>
    <comment ref="K17" authorId="0" shapeId="0" xr:uid="{1B1E1877-B670-4DDC-AC8A-21423820FF16}">
      <text>
        <r>
          <rPr>
            <sz val="9"/>
            <color indexed="81"/>
            <rFont val="Tahoma"/>
            <family val="2"/>
          </rPr>
          <t xml:space="preserve">Gjelder idrettsbygg og industri.
Fra gulv på grunn til underkant yttertak
</t>
        </r>
      </text>
    </comment>
    <comment ref="L17" authorId="0" shapeId="0" xr:uid="{0296EA14-6E9C-47D4-9A38-E76F7F5B85FB}">
      <text>
        <r>
          <rPr>
            <sz val="9"/>
            <color indexed="81"/>
            <rFont val="Tahoma"/>
            <family val="2"/>
          </rPr>
          <t>Samlet for nybygg og eksisterende bygg som beholdes (med eller uten rehabilitering)</t>
        </r>
      </text>
    </comment>
    <comment ref="E18" authorId="0" shapeId="0" xr:uid="{3936C87D-3CC6-4645-B0BF-D1B57CFD0996}">
      <text>
        <r>
          <rPr>
            <b/>
            <sz val="9"/>
            <color indexed="81"/>
            <rFont val="Tahoma"/>
            <family val="2"/>
          </rPr>
          <t>Hva menes med ”oppvarmet bruksareal (BRA)”?</t>
        </r>
        <r>
          <rPr>
            <sz val="9"/>
            <color indexed="81"/>
            <rFont val="Tahoma"/>
            <family val="2"/>
          </rPr>
          <t xml:space="preserve">
Det oppvarmede bruksarealet i en bygning er i mange tilfeller et mindre areal enn bygningens bruksareal. Metoden for å beregne dette er angitt TEK17, § 14-1. Generelle krav.
Eksempler på areal som ofte ikke tas med i oppvarmet bruksareal, er garasje og utvendig bod. Oppvarmet areal er gjerne begrenset til areal innenfor isolerte yttervegger.
</t>
        </r>
      </text>
    </comment>
    <comment ref="AX28" authorId="0" shapeId="0" xr:uid="{E4EF1DF7-BB00-44E7-804C-3D318FB5C371}">
      <text>
        <r>
          <rPr>
            <b/>
            <sz val="9"/>
            <color indexed="81"/>
            <rFont val="Tahoma"/>
            <family val="2"/>
          </rPr>
          <t>dagens år</t>
        </r>
        <r>
          <rPr>
            <sz val="9"/>
            <color indexed="81"/>
            <rFont val="Tahoma"/>
            <family val="2"/>
          </rPr>
          <t xml:space="preserve">
</t>
        </r>
      </text>
    </comment>
    <comment ref="AZ28" authorId="0" shapeId="0" xr:uid="{991E51C8-2B5F-4ECE-9A4D-859F5FDC6DBE}">
      <text>
        <r>
          <rPr>
            <b/>
            <sz val="9"/>
            <color indexed="81"/>
            <rFont val="Tahoma"/>
            <family val="2"/>
          </rPr>
          <t>basert på input</t>
        </r>
      </text>
    </comment>
    <comment ref="E33" authorId="0" shapeId="0" xr:uid="{D2143FA5-54DD-4553-8C0A-370FEB7A30C4}">
      <text>
        <r>
          <rPr>
            <sz val="9"/>
            <color indexed="81"/>
            <rFont val="Tahoma"/>
            <family val="2"/>
          </rPr>
          <t xml:space="preserve">Samlet for nybygg og eksisterende bygg som beholdes (med eller uten rehabilitering)
</t>
        </r>
      </text>
    </comment>
    <comment ref="E39" authorId="0" shapeId="0" xr:uid="{6124D2DF-2115-4E56-9381-D62CB977830C}">
      <text>
        <r>
          <rPr>
            <sz val="9"/>
            <color indexed="81"/>
            <rFont val="Tahoma"/>
            <family val="2"/>
          </rPr>
          <t xml:space="preserve">Eksempel på input:
-10000 kWh/år
</t>
        </r>
      </text>
    </comment>
    <comment ref="C78" authorId="0" shapeId="0" xr:uid="{D003A4AD-08B7-4664-B325-25144B9F07BA}">
      <text>
        <r>
          <rPr>
            <sz val="9"/>
            <color indexed="81"/>
            <rFont val="Tahoma"/>
            <family val="2"/>
          </rPr>
          <t>Hvis resultater ikke er fordelt på nybyg og rehabilitert bygg skrives alle resultater inn under nybygg</t>
        </r>
      </text>
    </comment>
    <comment ref="C81" authorId="0" shapeId="0" xr:uid="{0188AB56-1FAC-4B2E-91B3-352BF2CA56D2}">
      <text>
        <r>
          <rPr>
            <b/>
            <sz val="9"/>
            <color indexed="81"/>
            <rFont val="Tahoma"/>
            <family val="2"/>
          </rPr>
          <t>Omfatter bygningsdelsnummer 2, i henhold til NS 3451</t>
        </r>
        <r>
          <rPr>
            <sz val="9"/>
            <color indexed="81"/>
            <rFont val="Tahoma"/>
            <family val="2"/>
          </rPr>
          <t xml:space="preserve">
 21 Grunn og fundament
</t>
        </r>
      </text>
    </comment>
    <comment ref="D81" authorId="0" shapeId="0" xr:uid="{A65F131B-D3C9-4E89-B878-E824231640E8}">
      <text>
        <r>
          <rPr>
            <sz val="9"/>
            <color indexed="81"/>
            <rFont val="Tahoma"/>
            <family val="2"/>
          </rPr>
          <t>Omfatter også behov for grunn og fundament i arealer under bakken</t>
        </r>
      </text>
    </comment>
    <comment ref="C82" authorId="0" shapeId="0" xr:uid="{6A55EDAC-8B07-4CDB-97C7-6B37D80816E7}">
      <text>
        <r>
          <rPr>
            <b/>
            <sz val="9"/>
            <color indexed="81"/>
            <rFont val="Tahoma"/>
            <family val="2"/>
          </rPr>
          <t>Omfatter bygningsdelsnummer 2, i henhold til NS 3451</t>
        </r>
        <r>
          <rPr>
            <sz val="9"/>
            <color indexed="81"/>
            <rFont val="Tahoma"/>
            <family val="2"/>
          </rPr>
          <t xml:space="preserve">
 22 Bæresystem
 23 Yttervegger 
 24 Innervegger 
 25 Gulv på grunn, dekker og overflater 
 26 Yttertak 
 28 Trapp, heis og balkonger
Materialer som inngår i lokalt energiproduksjonsutstyr som ikke er dekket av NS 3451 (eksempel: sol, energibrønn)</t>
        </r>
      </text>
    </comment>
    <comment ref="AH82" authorId="0" shapeId="0" xr:uid="{7C9045B5-1C85-4C2F-AF0A-25B54EEB0E87}">
      <text>
        <r>
          <rPr>
            <b/>
            <sz val="9"/>
            <color indexed="81"/>
            <rFont val="Tahoma"/>
            <family val="2"/>
          </rPr>
          <t>Omfatter bygningsdelsnummer 2, i henhold til NS 3451</t>
        </r>
        <r>
          <rPr>
            <sz val="9"/>
            <color indexed="81"/>
            <rFont val="Tahoma"/>
            <family val="2"/>
          </rPr>
          <t xml:space="preserve">
 21 Grunn og fundament
 22 Bæresystem
 23 Yttervegger 
 24 Innervegger 
 25 Gulv på grunn, dekker og overflater 
 26 Yttertak 
 28 Trapp, heis og balkonger
 Materialer som inngår i lokalt energiproduksjonsutstyr som ikke er dekket av NS 3451 (eksempel: sol, energibrønn)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Oddbjørn Dahlstrøm Andvik</author>
  </authors>
  <commentList>
    <comment ref="C8" authorId="0" shapeId="0" xr:uid="{EF769471-5EDF-4BEE-A130-D16884E0711A}">
      <text>
        <r>
          <rPr>
            <sz val="9"/>
            <color indexed="81"/>
            <rFont val="Tahoma"/>
            <family val="2"/>
          </rPr>
          <t>Beskriv hvilke tiltak som skal gjøres for utslippsreduksjon i forbindelse med riving og/eller bevaring av eksisterende bebyggelse.</t>
        </r>
      </text>
    </comment>
    <comment ref="C9" authorId="0" shapeId="0" xr:uid="{004B0691-E640-4D73-BAC1-784BA46F54B6}">
      <text>
        <r>
          <rPr>
            <sz val="9"/>
            <color indexed="81"/>
            <rFont val="Tahoma"/>
            <family val="2"/>
          </rPr>
          <t>Beskriv hvilke tiltak som skal gjøres for å redusere utslipp fra materialbruk, herunder gjenbruk av byggematerialer og valg av lavutslippsmateriale.</t>
        </r>
      </text>
    </comment>
    <comment ref="C10" authorId="0" shapeId="0" xr:uid="{08E2766C-5BE0-4634-ABA8-62791E8830DD}">
      <text>
        <r>
          <rPr>
            <sz val="9"/>
            <color indexed="81"/>
            <rFont val="Tahoma"/>
            <family val="2"/>
          </rPr>
          <t>Beskriv hvilke tiltak som skal gjøres for å redusere energibehov, herunder bruk av lavutslipps energiløsninger i prosjektet.</t>
        </r>
      </text>
    </comment>
    <comment ref="C11" authorId="0" shapeId="0" xr:uid="{F2AC7843-B7F1-4623-A54C-0D982388D6DB}">
      <text>
        <r>
          <rPr>
            <sz val="9"/>
            <color indexed="81"/>
            <rFont val="Tahoma"/>
            <family val="2"/>
          </rPr>
          <t>Beskriv hvilke tiltak som skal gjøres for å redusere utslippene i bygge- og anleggsperioden.</t>
        </r>
      </text>
    </comment>
    <comment ref="G17" authorId="0" shapeId="0" xr:uid="{E3E2E1C9-0E87-4BB2-8616-C1D2ABEBF455}">
      <text>
        <r>
          <rPr>
            <sz val="9"/>
            <color indexed="81"/>
            <rFont val="Tahoma"/>
            <family val="2"/>
          </rPr>
          <t>Areal som tastes inn er areal etter en eventuell rehabilitering</t>
        </r>
      </text>
    </comment>
    <comment ref="K17" authorId="0" shapeId="0" xr:uid="{1BBBC93D-5408-4140-ACC3-A1C2DA578AC3}">
      <text>
        <r>
          <rPr>
            <sz val="9"/>
            <color indexed="81"/>
            <rFont val="Tahoma"/>
            <family val="2"/>
          </rPr>
          <t xml:space="preserve">Gjelder idrettsbygg og industri.
Fra gulv på grunn til underkant yttertak
</t>
        </r>
      </text>
    </comment>
    <comment ref="L17" authorId="0" shapeId="0" xr:uid="{A31E9C5C-8094-4F92-A4BA-868B1DEDED8D}">
      <text>
        <r>
          <rPr>
            <sz val="9"/>
            <color indexed="81"/>
            <rFont val="Tahoma"/>
            <family val="2"/>
          </rPr>
          <t>Samlet for nybygg og eksisterende bygg som beholdes (med eller uten rehabilitering)</t>
        </r>
      </text>
    </comment>
    <comment ref="E18" authorId="0" shapeId="0" xr:uid="{33DA6C74-7F41-4718-B8AD-EB6692A40F22}">
      <text>
        <r>
          <rPr>
            <b/>
            <sz val="9"/>
            <color indexed="81"/>
            <rFont val="Tahoma"/>
            <family val="2"/>
          </rPr>
          <t>Hva menes med ”oppvarmet bruksareal (BRA)”?</t>
        </r>
        <r>
          <rPr>
            <sz val="9"/>
            <color indexed="81"/>
            <rFont val="Tahoma"/>
            <family val="2"/>
          </rPr>
          <t xml:space="preserve">
Det oppvarmede bruksarealet i en bygning er i mange tilfeller et mindre areal enn bygningens bruksareal. Metoden for å beregne dette er angitt TEK17, § 14-1. Generelle krav.
Eksempler på areal som ofte ikke tas med i oppvarmet bruksareal, er garasje og utvendig bod. Oppvarmet areal er gjerne begrenset til areal innenfor isolerte yttervegger.
</t>
        </r>
      </text>
    </comment>
    <comment ref="AX28" authorId="0" shapeId="0" xr:uid="{0DE056C7-0D97-47AB-9A8E-A5039E95226E}">
      <text>
        <r>
          <rPr>
            <b/>
            <sz val="9"/>
            <color indexed="81"/>
            <rFont val="Tahoma"/>
            <family val="2"/>
          </rPr>
          <t>dagens år</t>
        </r>
        <r>
          <rPr>
            <sz val="9"/>
            <color indexed="81"/>
            <rFont val="Tahoma"/>
            <family val="2"/>
          </rPr>
          <t xml:space="preserve">
</t>
        </r>
      </text>
    </comment>
    <comment ref="AZ28" authorId="0" shapeId="0" xr:uid="{62E28313-49EB-42F1-9317-4DAACCD128F3}">
      <text>
        <r>
          <rPr>
            <b/>
            <sz val="9"/>
            <color indexed="81"/>
            <rFont val="Tahoma"/>
            <family val="2"/>
          </rPr>
          <t>basert på input</t>
        </r>
      </text>
    </comment>
    <comment ref="E33" authorId="0" shapeId="0" xr:uid="{AE7654F2-654A-4ACC-9070-96086907F25C}">
      <text>
        <r>
          <rPr>
            <sz val="9"/>
            <color indexed="81"/>
            <rFont val="Tahoma"/>
            <family val="2"/>
          </rPr>
          <t xml:space="preserve">Samlet for nybygg og eksisterende bygg som beholdes (med eller uten rehabilitering)
</t>
        </r>
      </text>
    </comment>
    <comment ref="E39" authorId="0" shapeId="0" xr:uid="{3D39E0EA-3B06-46FA-9B37-68C86F7DC214}">
      <text>
        <r>
          <rPr>
            <sz val="9"/>
            <color indexed="81"/>
            <rFont val="Tahoma"/>
            <family val="2"/>
          </rPr>
          <t xml:space="preserve">Eksempel på input:
-10000 kWh/år
</t>
        </r>
      </text>
    </comment>
    <comment ref="C78" authorId="0" shapeId="0" xr:uid="{DFAA6DA0-F67A-41FD-B352-662FAE8917C5}">
      <text>
        <r>
          <rPr>
            <sz val="9"/>
            <color indexed="81"/>
            <rFont val="Tahoma"/>
            <family val="2"/>
          </rPr>
          <t>Hvis resultater ikke er fordelt på nybyg og rehabilitert bygg skrives alle resultater inn under nybygg</t>
        </r>
      </text>
    </comment>
    <comment ref="C81" authorId="0" shapeId="0" xr:uid="{4E4C87C2-BD76-46D9-A0C3-78BC5469D414}">
      <text>
        <r>
          <rPr>
            <b/>
            <sz val="9"/>
            <color indexed="81"/>
            <rFont val="Tahoma"/>
            <family val="2"/>
          </rPr>
          <t>Omfatter bygningsdelsnummer 2, i henhold til NS 3451</t>
        </r>
        <r>
          <rPr>
            <sz val="9"/>
            <color indexed="81"/>
            <rFont val="Tahoma"/>
            <family val="2"/>
          </rPr>
          <t xml:space="preserve">
 21 Grunn og fundament
</t>
        </r>
      </text>
    </comment>
    <comment ref="D81" authorId="0" shapeId="0" xr:uid="{7603CA43-1C39-4871-8DE7-A404C2580ADF}">
      <text>
        <r>
          <rPr>
            <sz val="9"/>
            <color indexed="81"/>
            <rFont val="Tahoma"/>
            <family val="2"/>
          </rPr>
          <t>Omfatter også behov for grunn og fundament i arealer under bakken</t>
        </r>
      </text>
    </comment>
    <comment ref="C82" authorId="0" shapeId="0" xr:uid="{C21BB190-7B77-48BF-8811-92EC08ACFD4F}">
      <text>
        <r>
          <rPr>
            <b/>
            <sz val="9"/>
            <color indexed="81"/>
            <rFont val="Tahoma"/>
            <family val="2"/>
          </rPr>
          <t>Omfatter bygningsdelsnummer 2, i henhold til NS 3451</t>
        </r>
        <r>
          <rPr>
            <sz val="9"/>
            <color indexed="81"/>
            <rFont val="Tahoma"/>
            <family val="2"/>
          </rPr>
          <t xml:space="preserve">
 22 Bæresystem
 23 Yttervegger 
 24 Innervegger 
 25 Gulv på grunn, dekker og overflater 
 26 Yttertak 
 28 Trapp, heis og balkonger
Materialer som inngår i lokalt energiproduksjonsutstyr som ikke er dekket av NS 3451 (eksempel: sol, energibrønn)</t>
        </r>
      </text>
    </comment>
    <comment ref="AH82" authorId="0" shapeId="0" xr:uid="{36D58CBC-A9F5-4992-ACD5-D5D36E0D700C}">
      <text>
        <r>
          <rPr>
            <b/>
            <sz val="9"/>
            <color indexed="81"/>
            <rFont val="Tahoma"/>
            <family val="2"/>
          </rPr>
          <t>Omfatter bygningsdelsnummer 2, i henhold til NS 3451</t>
        </r>
        <r>
          <rPr>
            <sz val="9"/>
            <color indexed="81"/>
            <rFont val="Tahoma"/>
            <family val="2"/>
          </rPr>
          <t xml:space="preserve">
 21 Grunn og fundament
 22 Bæresystem
 23 Yttervegger 
 24 Innervegger 
 25 Gulv på grunn, dekker og overflater 
 26 Yttertak 
 28 Trapp, heis og balkonger
 Materialer som inngår i lokalt energiproduksjonsutstyr som ikke er dekket av NS 3451 (eksempel: sol, energibrønn)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Oddbjørn Dahlstrøm Andvik</author>
  </authors>
  <commentList>
    <comment ref="C8" authorId="0" shapeId="0" xr:uid="{95918B8E-5A47-48D6-AAEF-4C960A916789}">
      <text>
        <r>
          <rPr>
            <sz val="9"/>
            <color indexed="81"/>
            <rFont val="Tahoma"/>
            <family val="2"/>
          </rPr>
          <t>Beskriv hvilke tiltak som skal gjøres for utslippsreduksjon i forbindelse med riving og/eller bevaring av eksisterende bebyggelse.</t>
        </r>
      </text>
    </comment>
    <comment ref="C9" authorId="0" shapeId="0" xr:uid="{F2B1E5DB-3A80-484A-96A5-E51D5D90C0B6}">
      <text>
        <r>
          <rPr>
            <sz val="9"/>
            <color indexed="81"/>
            <rFont val="Tahoma"/>
            <family val="2"/>
          </rPr>
          <t>Beskriv hvilke tiltak som skal gjøres for å redusere utslipp fra materialbruk, herunder gjenbruk av byggematerialer og valg av lavutslippsmateriale.</t>
        </r>
      </text>
    </comment>
    <comment ref="C10" authorId="0" shapeId="0" xr:uid="{14AC2209-A458-4896-8C1B-FD024431B972}">
      <text>
        <r>
          <rPr>
            <sz val="9"/>
            <color indexed="81"/>
            <rFont val="Tahoma"/>
            <family val="2"/>
          </rPr>
          <t>Beskriv hvilke tiltak som skal gjøres for å redusere energibehov, herunder bruk av lavutslipps energiløsninger i prosjektet.</t>
        </r>
      </text>
    </comment>
    <comment ref="C11" authorId="0" shapeId="0" xr:uid="{1FA2E7AB-3BEC-490B-807E-006A1B5BE86F}">
      <text>
        <r>
          <rPr>
            <sz val="9"/>
            <color indexed="81"/>
            <rFont val="Tahoma"/>
            <family val="2"/>
          </rPr>
          <t>Beskriv hvilke tiltak som skal gjøres for å redusere utslippene i bygge- og anleggsperioden.</t>
        </r>
      </text>
    </comment>
    <comment ref="G17" authorId="0" shapeId="0" xr:uid="{C1030762-9B88-40BC-891D-7B2D2283AA51}">
      <text>
        <r>
          <rPr>
            <sz val="9"/>
            <color indexed="81"/>
            <rFont val="Tahoma"/>
            <family val="2"/>
          </rPr>
          <t>Areal som tastes inn er areal etter en eventuell rehabilitering</t>
        </r>
      </text>
    </comment>
    <comment ref="K17" authorId="0" shapeId="0" xr:uid="{4EB00872-9962-442A-A625-780EAF5A34FB}">
      <text>
        <r>
          <rPr>
            <sz val="9"/>
            <color indexed="81"/>
            <rFont val="Tahoma"/>
            <family val="2"/>
          </rPr>
          <t xml:space="preserve">Gjelder idrettsbygg og industri.
Fra gulv på grunn til underkant yttertak
</t>
        </r>
      </text>
    </comment>
    <comment ref="L17" authorId="0" shapeId="0" xr:uid="{A2E573F2-528D-4AB3-8146-F896F3D7CB52}">
      <text>
        <r>
          <rPr>
            <sz val="9"/>
            <color indexed="81"/>
            <rFont val="Tahoma"/>
            <family val="2"/>
          </rPr>
          <t>Samlet for nybygg og eksisterende bygg som beholdes (med eller uten rehabilitering)</t>
        </r>
      </text>
    </comment>
    <comment ref="E18" authorId="0" shapeId="0" xr:uid="{A5538B38-8F7D-413B-B116-312D67F9D292}">
      <text>
        <r>
          <rPr>
            <b/>
            <sz val="9"/>
            <color indexed="81"/>
            <rFont val="Tahoma"/>
            <family val="2"/>
          </rPr>
          <t>Hva menes med ”oppvarmet bruksareal (BRA)”?</t>
        </r>
        <r>
          <rPr>
            <sz val="9"/>
            <color indexed="81"/>
            <rFont val="Tahoma"/>
            <family val="2"/>
          </rPr>
          <t xml:space="preserve">
Det oppvarmede bruksarealet i en bygning er i mange tilfeller et mindre areal enn bygningens bruksareal. Metoden for å beregne dette er angitt TEK17, § 14-1. Generelle krav.
Eksempler på areal som ofte ikke tas med i oppvarmet bruksareal, er garasje og utvendig bod. Oppvarmet areal er gjerne begrenset til areal innenfor isolerte yttervegger.
</t>
        </r>
      </text>
    </comment>
    <comment ref="AX28" authorId="0" shapeId="0" xr:uid="{B2030DF4-7090-4FD6-9FFF-4C6C5383B53F}">
      <text>
        <r>
          <rPr>
            <b/>
            <sz val="9"/>
            <color indexed="81"/>
            <rFont val="Tahoma"/>
            <family val="2"/>
          </rPr>
          <t>dagens år</t>
        </r>
        <r>
          <rPr>
            <sz val="9"/>
            <color indexed="81"/>
            <rFont val="Tahoma"/>
            <family val="2"/>
          </rPr>
          <t xml:space="preserve">
</t>
        </r>
      </text>
    </comment>
    <comment ref="AZ28" authorId="0" shapeId="0" xr:uid="{1EDC5376-8266-4620-B441-A161D9F667B3}">
      <text>
        <r>
          <rPr>
            <b/>
            <sz val="9"/>
            <color indexed="81"/>
            <rFont val="Tahoma"/>
            <family val="2"/>
          </rPr>
          <t>basert på input</t>
        </r>
      </text>
    </comment>
    <comment ref="E33" authorId="0" shapeId="0" xr:uid="{2017D806-BCC6-4F3E-994C-461B8A26EE5A}">
      <text>
        <r>
          <rPr>
            <sz val="9"/>
            <color indexed="81"/>
            <rFont val="Tahoma"/>
            <family val="2"/>
          </rPr>
          <t xml:space="preserve">Samlet for nybygg og eksisterende bygg som beholdes (med eller uten rehabilitering)
</t>
        </r>
      </text>
    </comment>
    <comment ref="E39" authorId="0" shapeId="0" xr:uid="{3565DCDD-441A-46E9-8970-3CFF1A0F5930}">
      <text>
        <r>
          <rPr>
            <sz val="9"/>
            <color indexed="81"/>
            <rFont val="Tahoma"/>
            <family val="2"/>
          </rPr>
          <t xml:space="preserve">Eksempel på input:
-10000 kWh/år
</t>
        </r>
      </text>
    </comment>
    <comment ref="C78" authorId="0" shapeId="0" xr:uid="{FF727337-FBD3-48A3-B013-B78C8F6B97AE}">
      <text>
        <r>
          <rPr>
            <sz val="9"/>
            <color indexed="81"/>
            <rFont val="Tahoma"/>
            <family val="2"/>
          </rPr>
          <t>Hvis resultater ikke er fordelt på nybyg og rehabilitert bygg skrives alle resultater inn under nybygg</t>
        </r>
      </text>
    </comment>
    <comment ref="C81" authorId="0" shapeId="0" xr:uid="{83DE23AC-BC27-4106-A665-905BD3BAEAA8}">
      <text>
        <r>
          <rPr>
            <b/>
            <sz val="9"/>
            <color indexed="81"/>
            <rFont val="Tahoma"/>
            <family val="2"/>
          </rPr>
          <t>Omfatter bygningsdelsnummer 2, i henhold til NS 3451</t>
        </r>
        <r>
          <rPr>
            <sz val="9"/>
            <color indexed="81"/>
            <rFont val="Tahoma"/>
            <family val="2"/>
          </rPr>
          <t xml:space="preserve">
 21 Grunn og fundament
</t>
        </r>
      </text>
    </comment>
    <comment ref="D81" authorId="0" shapeId="0" xr:uid="{925B65D3-E4EE-4711-B927-9FD7F8492EE0}">
      <text>
        <r>
          <rPr>
            <sz val="9"/>
            <color indexed="81"/>
            <rFont val="Tahoma"/>
            <family val="2"/>
          </rPr>
          <t>Omfatter også behov for grunn og fundament i arealer under bakken</t>
        </r>
      </text>
    </comment>
    <comment ref="C82" authorId="0" shapeId="0" xr:uid="{4CF76A0C-F5D9-4F83-8E33-21CE90804B06}">
      <text>
        <r>
          <rPr>
            <b/>
            <sz val="9"/>
            <color indexed="81"/>
            <rFont val="Tahoma"/>
            <family val="2"/>
          </rPr>
          <t>Omfatter bygningsdelsnummer 2, i henhold til NS 3451</t>
        </r>
        <r>
          <rPr>
            <sz val="9"/>
            <color indexed="81"/>
            <rFont val="Tahoma"/>
            <family val="2"/>
          </rPr>
          <t xml:space="preserve">
 22 Bæresystem
 23 Yttervegger 
 24 Innervegger 
 25 Gulv på grunn, dekker og overflater 
 26 Yttertak 
 28 Trapp, heis og balkonger
Materialer som inngår i lokalt energiproduksjonsutstyr som ikke er dekket av NS 3451 (eksempel: sol, energibrønn)</t>
        </r>
      </text>
    </comment>
    <comment ref="AH82" authorId="0" shapeId="0" xr:uid="{5E041F43-9D6D-4B45-A6C8-E7020078EA05}">
      <text>
        <r>
          <rPr>
            <b/>
            <sz val="9"/>
            <color indexed="81"/>
            <rFont val="Tahoma"/>
            <family val="2"/>
          </rPr>
          <t>Omfatter bygningsdelsnummer 2, i henhold til NS 3451</t>
        </r>
        <r>
          <rPr>
            <sz val="9"/>
            <color indexed="81"/>
            <rFont val="Tahoma"/>
            <family val="2"/>
          </rPr>
          <t xml:space="preserve">
 21 Grunn og fundament
 22 Bæresystem
 23 Yttervegger 
 24 Innervegger 
 25 Gulv på grunn, dekker og overflater 
 26 Yttertak 
 28 Trapp, heis og balkonger
 Materialer som inngår i lokalt energiproduksjonsutstyr som ikke er dekket av NS 3451 (eksempel: sol, energibrønn)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Oddbjørn Dahlstrøm Andvik</author>
  </authors>
  <commentList>
    <comment ref="C8" authorId="0" shapeId="0" xr:uid="{FCD5BA33-C925-46F6-BFDB-2FDB2EFCB785}">
      <text>
        <r>
          <rPr>
            <sz val="9"/>
            <color indexed="81"/>
            <rFont val="Tahoma"/>
            <family val="2"/>
          </rPr>
          <t>Beskriv hvilke tiltak som skal gjøres for utslippsreduksjon i forbindelse med riving og/eller bevaring av eksisterende bebyggelse.</t>
        </r>
      </text>
    </comment>
    <comment ref="C9" authorId="0" shapeId="0" xr:uid="{34495AF1-966D-4116-9469-979020B2A8CE}">
      <text>
        <r>
          <rPr>
            <sz val="9"/>
            <color indexed="81"/>
            <rFont val="Tahoma"/>
            <family val="2"/>
          </rPr>
          <t>Beskriv hvilke tiltak som skal gjøres for å redusere utslipp fra materialbruk, herunder gjenbruk av byggematerialer og valg av lavutslippsmateriale.</t>
        </r>
      </text>
    </comment>
    <comment ref="C10" authorId="0" shapeId="0" xr:uid="{BD6C8779-E91D-4165-8D01-5C098F33E504}">
      <text>
        <r>
          <rPr>
            <sz val="9"/>
            <color indexed="81"/>
            <rFont val="Tahoma"/>
            <family val="2"/>
          </rPr>
          <t>Beskriv hvilke tiltak som skal gjøres for å redusere energibehov, herunder bruk av lavutslipps energiløsninger i prosjektet.</t>
        </r>
      </text>
    </comment>
    <comment ref="C11" authorId="0" shapeId="0" xr:uid="{08AD4D1F-C776-4534-B993-365E56B3C192}">
      <text>
        <r>
          <rPr>
            <sz val="9"/>
            <color indexed="81"/>
            <rFont val="Tahoma"/>
            <family val="2"/>
          </rPr>
          <t>Beskriv hvilke tiltak som skal gjøres for å redusere utslippene i bygge- og anleggsperioden.</t>
        </r>
      </text>
    </comment>
    <comment ref="G17" authorId="0" shapeId="0" xr:uid="{9C00E698-5A01-4402-9050-BE4EB8295BDD}">
      <text>
        <r>
          <rPr>
            <sz val="9"/>
            <color indexed="81"/>
            <rFont val="Tahoma"/>
            <family val="2"/>
          </rPr>
          <t>Areal som tastes inn er areal etter en eventuell rehabilitering</t>
        </r>
      </text>
    </comment>
    <comment ref="K17" authorId="0" shapeId="0" xr:uid="{294E8B08-949B-4530-8B15-ED352128EF59}">
      <text>
        <r>
          <rPr>
            <sz val="9"/>
            <color indexed="81"/>
            <rFont val="Tahoma"/>
            <family val="2"/>
          </rPr>
          <t xml:space="preserve">Gjelder idrettsbygg og industri.
Fra gulv på grunn til underkant yttertak
</t>
        </r>
      </text>
    </comment>
    <comment ref="L17" authorId="0" shapeId="0" xr:uid="{D49279A7-BA36-40C6-BFBA-486F53E997A3}">
      <text>
        <r>
          <rPr>
            <sz val="9"/>
            <color indexed="81"/>
            <rFont val="Tahoma"/>
            <family val="2"/>
          </rPr>
          <t>Samlet for nybygg og eksisterende bygg som beholdes (med eller uten rehabilitering)</t>
        </r>
      </text>
    </comment>
    <comment ref="E18" authorId="0" shapeId="0" xr:uid="{E5CEFB42-35DA-4D96-945C-520E48FB49D3}">
      <text>
        <r>
          <rPr>
            <b/>
            <sz val="9"/>
            <color indexed="81"/>
            <rFont val="Tahoma"/>
            <family val="2"/>
          </rPr>
          <t>Hva menes med ”oppvarmet bruksareal (BRA)”?</t>
        </r>
        <r>
          <rPr>
            <sz val="9"/>
            <color indexed="81"/>
            <rFont val="Tahoma"/>
            <family val="2"/>
          </rPr>
          <t xml:space="preserve">
Det oppvarmede bruksarealet i en bygning er i mange tilfeller et mindre areal enn bygningens bruksareal. Metoden for å beregne dette er angitt TEK17, § 14-1. Generelle krav.
Eksempler på areal som ofte ikke tas med i oppvarmet bruksareal, er garasje og utvendig bod. Oppvarmet areal er gjerne begrenset til areal innenfor isolerte yttervegger.
</t>
        </r>
      </text>
    </comment>
    <comment ref="AX28" authorId="0" shapeId="0" xr:uid="{ECEFE581-E8BB-459A-B8F2-49A7720158FD}">
      <text>
        <r>
          <rPr>
            <b/>
            <sz val="9"/>
            <color indexed="81"/>
            <rFont val="Tahoma"/>
            <family val="2"/>
          </rPr>
          <t>dagens år</t>
        </r>
        <r>
          <rPr>
            <sz val="9"/>
            <color indexed="81"/>
            <rFont val="Tahoma"/>
            <family val="2"/>
          </rPr>
          <t xml:space="preserve">
</t>
        </r>
      </text>
    </comment>
    <comment ref="AZ28" authorId="0" shapeId="0" xr:uid="{B5F1B78A-5657-4120-9577-2DBFF696E052}">
      <text>
        <r>
          <rPr>
            <b/>
            <sz val="9"/>
            <color indexed="81"/>
            <rFont val="Tahoma"/>
            <family val="2"/>
          </rPr>
          <t>basert på input</t>
        </r>
      </text>
    </comment>
    <comment ref="E33" authorId="0" shapeId="0" xr:uid="{0A215FC9-27F3-4650-B2CA-324D3546468B}">
      <text>
        <r>
          <rPr>
            <sz val="9"/>
            <color indexed="81"/>
            <rFont val="Tahoma"/>
            <family val="2"/>
          </rPr>
          <t xml:space="preserve">Samlet for nybygg og eksisterende bygg som beholdes (med eller uten rehabilitering)
</t>
        </r>
      </text>
    </comment>
    <comment ref="E39" authorId="0" shapeId="0" xr:uid="{4E6146F9-E504-43A4-90FD-43EC6A8F75BF}">
      <text>
        <r>
          <rPr>
            <sz val="9"/>
            <color indexed="81"/>
            <rFont val="Tahoma"/>
            <family val="2"/>
          </rPr>
          <t xml:space="preserve">Eksempel på input:
-10000 kWh/år
</t>
        </r>
      </text>
    </comment>
    <comment ref="C78" authorId="0" shapeId="0" xr:uid="{E1FF147D-EF07-4D46-99C3-B937A21F2F37}">
      <text>
        <r>
          <rPr>
            <sz val="9"/>
            <color indexed="81"/>
            <rFont val="Tahoma"/>
            <family val="2"/>
          </rPr>
          <t>Hvis resultater ikke er fordelt på nybyg og rehabilitert bygg skrives alle resultater inn under nybygg</t>
        </r>
      </text>
    </comment>
    <comment ref="C81" authorId="0" shapeId="0" xr:uid="{E729A48F-F8AE-4B2E-8208-74BF86742B39}">
      <text>
        <r>
          <rPr>
            <b/>
            <sz val="9"/>
            <color indexed="81"/>
            <rFont val="Tahoma"/>
            <family val="2"/>
          </rPr>
          <t>Omfatter bygningsdelsnummer 2, i henhold til NS 3451</t>
        </r>
        <r>
          <rPr>
            <sz val="9"/>
            <color indexed="81"/>
            <rFont val="Tahoma"/>
            <family val="2"/>
          </rPr>
          <t xml:space="preserve">
 21 Grunn og fundament
</t>
        </r>
      </text>
    </comment>
    <comment ref="D81" authorId="0" shapeId="0" xr:uid="{80BA0369-2C40-4A15-9CC4-19A5E87E2C75}">
      <text>
        <r>
          <rPr>
            <sz val="9"/>
            <color indexed="81"/>
            <rFont val="Tahoma"/>
            <family val="2"/>
          </rPr>
          <t>Omfatter også behov for grunn og fundament i arealer under bakken</t>
        </r>
      </text>
    </comment>
    <comment ref="C82" authorId="0" shapeId="0" xr:uid="{6B1386F1-80FC-4698-896A-83E965694A25}">
      <text>
        <r>
          <rPr>
            <b/>
            <sz val="9"/>
            <color indexed="81"/>
            <rFont val="Tahoma"/>
            <family val="2"/>
          </rPr>
          <t>Omfatter bygningsdelsnummer 2, i henhold til NS 3451</t>
        </r>
        <r>
          <rPr>
            <sz val="9"/>
            <color indexed="81"/>
            <rFont val="Tahoma"/>
            <family val="2"/>
          </rPr>
          <t xml:space="preserve">
 22 Bæresystem
 23 Yttervegger 
 24 Innervegger 
 25 Gulv på grunn, dekker og overflater 
 26 Yttertak 
 28 Trapp, heis og balkonger
Materialer som inngår i lokalt energiproduksjonsutstyr som ikke er dekket av NS 3451 (eksempel: sol, energibrønn)</t>
        </r>
      </text>
    </comment>
    <comment ref="AH82" authorId="0" shapeId="0" xr:uid="{BCD58C73-C27A-4AB7-ACB4-1CD268F8A53A}">
      <text>
        <r>
          <rPr>
            <b/>
            <sz val="9"/>
            <color indexed="81"/>
            <rFont val="Tahoma"/>
            <family val="2"/>
          </rPr>
          <t>Omfatter bygningsdelsnummer 2, i henhold til NS 3451</t>
        </r>
        <r>
          <rPr>
            <sz val="9"/>
            <color indexed="81"/>
            <rFont val="Tahoma"/>
            <family val="2"/>
          </rPr>
          <t xml:space="preserve">
 21 Grunn og fundament
 22 Bæresystem
 23 Yttervegger 
 24 Innervegger 
 25 Gulv på grunn, dekker og overflater 
 26 Yttertak 
 28 Trapp, heis og balkonger
 Materialer som inngår i lokalt energiproduksjonsutstyr som ikke er dekket av NS 3451 (eksempel: sol, energibrønn)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Oddbjørn Dahlstrøm Andvik</author>
  </authors>
  <commentList>
    <comment ref="C8" authorId="0" shapeId="0" xr:uid="{5C695BAF-D2D4-48A7-BB63-B66F74DA6C51}">
      <text>
        <r>
          <rPr>
            <sz val="9"/>
            <color indexed="81"/>
            <rFont val="Tahoma"/>
            <family val="2"/>
          </rPr>
          <t>Beskriv hvilke tiltak som skal gjøres for utslippsreduksjon i forbindelse med riving og/eller bevaring av eksisterende bebyggelse.</t>
        </r>
      </text>
    </comment>
    <comment ref="C9" authorId="0" shapeId="0" xr:uid="{F751C063-DFC4-4D7A-9BB7-855C0EC4A58F}">
      <text>
        <r>
          <rPr>
            <sz val="9"/>
            <color indexed="81"/>
            <rFont val="Tahoma"/>
            <family val="2"/>
          </rPr>
          <t>Beskriv hvilke tiltak som skal gjøres for å redusere utslipp fra materialbruk, herunder gjenbruk av byggematerialer og valg av lavutslippsmateriale.</t>
        </r>
      </text>
    </comment>
    <comment ref="C10" authorId="0" shapeId="0" xr:uid="{55380B2C-89C0-4733-998B-C2CB49D30A80}">
      <text>
        <r>
          <rPr>
            <sz val="9"/>
            <color indexed="81"/>
            <rFont val="Tahoma"/>
            <family val="2"/>
          </rPr>
          <t>Beskriv hvilke tiltak som skal gjøres for å redusere energibehov, herunder bruk av lavutslipps energiløsninger i prosjektet.</t>
        </r>
      </text>
    </comment>
    <comment ref="C11" authorId="0" shapeId="0" xr:uid="{121C5F93-9955-4A6E-97FF-114D2FD43C90}">
      <text>
        <r>
          <rPr>
            <sz val="9"/>
            <color indexed="81"/>
            <rFont val="Tahoma"/>
            <family val="2"/>
          </rPr>
          <t>Beskriv hvilke tiltak som skal gjøres for å redusere utslippene i bygge- og anleggsperioden.</t>
        </r>
      </text>
    </comment>
    <comment ref="G17" authorId="0" shapeId="0" xr:uid="{635D5F11-BF77-4673-B793-CB38828FC9DD}">
      <text>
        <r>
          <rPr>
            <sz val="9"/>
            <color indexed="81"/>
            <rFont val="Tahoma"/>
            <family val="2"/>
          </rPr>
          <t>Areal som tastes inn er areal etter en eventuell rehabilitering</t>
        </r>
      </text>
    </comment>
    <comment ref="K17" authorId="0" shapeId="0" xr:uid="{22ACF7C6-90B8-4614-B662-F2B99CAF13D3}">
      <text>
        <r>
          <rPr>
            <sz val="9"/>
            <color indexed="81"/>
            <rFont val="Tahoma"/>
            <family val="2"/>
          </rPr>
          <t xml:space="preserve">Gjelder idrettsbygg og industri.
Fra gulv på grunn til underkant yttertak
</t>
        </r>
      </text>
    </comment>
    <comment ref="L17" authorId="0" shapeId="0" xr:uid="{CEA99A53-976B-4891-AED4-FD64180A6D2F}">
      <text>
        <r>
          <rPr>
            <sz val="9"/>
            <color indexed="81"/>
            <rFont val="Tahoma"/>
            <family val="2"/>
          </rPr>
          <t>Samlet for nybygg og eksisterende bygg som beholdes (med eller uten rehabilitering)</t>
        </r>
      </text>
    </comment>
    <comment ref="E18" authorId="0" shapeId="0" xr:uid="{5EE74001-30E8-40DA-9D43-0B0A7AC82CAC}">
      <text>
        <r>
          <rPr>
            <b/>
            <sz val="9"/>
            <color indexed="81"/>
            <rFont val="Tahoma"/>
            <family val="2"/>
          </rPr>
          <t>Hva menes med ”oppvarmet bruksareal (BRA)”?</t>
        </r>
        <r>
          <rPr>
            <sz val="9"/>
            <color indexed="81"/>
            <rFont val="Tahoma"/>
            <family val="2"/>
          </rPr>
          <t xml:space="preserve">
Det oppvarmede bruksarealet i en bygning er i mange tilfeller et mindre areal enn bygningens bruksareal. Metoden for å beregne dette er angitt TEK17, § 14-1. Generelle krav.
Eksempler på areal som ofte ikke tas med i oppvarmet bruksareal, er garasje og utvendig bod. Oppvarmet areal er gjerne begrenset til areal innenfor isolerte yttervegger.
</t>
        </r>
      </text>
    </comment>
    <comment ref="AX28" authorId="0" shapeId="0" xr:uid="{140B666E-62B4-446E-8996-23808AE8B28E}">
      <text>
        <r>
          <rPr>
            <b/>
            <sz val="9"/>
            <color indexed="81"/>
            <rFont val="Tahoma"/>
            <family val="2"/>
          </rPr>
          <t>dagens år</t>
        </r>
        <r>
          <rPr>
            <sz val="9"/>
            <color indexed="81"/>
            <rFont val="Tahoma"/>
            <family val="2"/>
          </rPr>
          <t xml:space="preserve">
</t>
        </r>
      </text>
    </comment>
    <comment ref="AZ28" authorId="0" shapeId="0" xr:uid="{434652B4-2665-4880-9BDE-3565A7ECE7A6}">
      <text>
        <r>
          <rPr>
            <b/>
            <sz val="9"/>
            <color indexed="81"/>
            <rFont val="Tahoma"/>
            <family val="2"/>
          </rPr>
          <t>basert på input</t>
        </r>
      </text>
    </comment>
    <comment ref="E33" authorId="0" shapeId="0" xr:uid="{AD7D21DE-D213-4F2C-B906-2D918DB95571}">
      <text>
        <r>
          <rPr>
            <sz val="9"/>
            <color indexed="81"/>
            <rFont val="Tahoma"/>
            <family val="2"/>
          </rPr>
          <t xml:space="preserve">Samlet for nybygg og eksisterende bygg som beholdes (med eller uten rehabilitering)
</t>
        </r>
      </text>
    </comment>
    <comment ref="E39" authorId="0" shapeId="0" xr:uid="{7158B638-481C-4DAB-A878-87D338395674}">
      <text>
        <r>
          <rPr>
            <sz val="9"/>
            <color indexed="81"/>
            <rFont val="Tahoma"/>
            <family val="2"/>
          </rPr>
          <t xml:space="preserve">Eksempel på input:
-10000 kWh/år
</t>
        </r>
      </text>
    </comment>
    <comment ref="C78" authorId="0" shapeId="0" xr:uid="{4743F149-0E52-437A-9B0C-F50485534869}">
      <text>
        <r>
          <rPr>
            <sz val="9"/>
            <color indexed="81"/>
            <rFont val="Tahoma"/>
            <family val="2"/>
          </rPr>
          <t>Hvis resultater ikke er fordelt på nybyg og rehabilitert bygg skrives alle resultater inn under nybygg</t>
        </r>
      </text>
    </comment>
    <comment ref="C81" authorId="0" shapeId="0" xr:uid="{3C39A74F-2D66-43D9-AA03-4F351C29FA9C}">
      <text>
        <r>
          <rPr>
            <b/>
            <sz val="9"/>
            <color indexed="81"/>
            <rFont val="Tahoma"/>
            <family val="2"/>
          </rPr>
          <t>Omfatter bygningsdelsnummer 2, i henhold til NS 3451</t>
        </r>
        <r>
          <rPr>
            <sz val="9"/>
            <color indexed="81"/>
            <rFont val="Tahoma"/>
            <family val="2"/>
          </rPr>
          <t xml:space="preserve">
 21 Grunn og fundament
</t>
        </r>
      </text>
    </comment>
    <comment ref="D81" authorId="0" shapeId="0" xr:uid="{E93BEAD6-21D9-49B0-8467-DAD5CCC4A0FC}">
      <text>
        <r>
          <rPr>
            <sz val="9"/>
            <color indexed="81"/>
            <rFont val="Tahoma"/>
            <family val="2"/>
          </rPr>
          <t>Omfatter også behov for grunn og fundament i arealer under bakken</t>
        </r>
      </text>
    </comment>
    <comment ref="C82" authorId="0" shapeId="0" xr:uid="{8BF74543-AE12-493C-8D33-0145E787A826}">
      <text>
        <r>
          <rPr>
            <b/>
            <sz val="9"/>
            <color indexed="81"/>
            <rFont val="Tahoma"/>
            <family val="2"/>
          </rPr>
          <t>Omfatter bygningsdelsnummer 2, i henhold til NS 3451</t>
        </r>
        <r>
          <rPr>
            <sz val="9"/>
            <color indexed="81"/>
            <rFont val="Tahoma"/>
            <family val="2"/>
          </rPr>
          <t xml:space="preserve">
 22 Bæresystem
 23 Yttervegger 
 24 Innervegger 
 25 Gulv på grunn, dekker og overflater 
 26 Yttertak 
 28 Trapp, heis og balkonger
Materialer som inngår i lokalt energiproduksjonsutstyr som ikke er dekket av NS 3451 (eksempel: sol, energibrønn)</t>
        </r>
      </text>
    </comment>
    <comment ref="AH82" authorId="0" shapeId="0" xr:uid="{F11DBA69-DCE1-46B2-A5E9-7FE3DFD3E095}">
      <text>
        <r>
          <rPr>
            <b/>
            <sz val="9"/>
            <color indexed="81"/>
            <rFont val="Tahoma"/>
            <family val="2"/>
          </rPr>
          <t>Omfatter bygningsdelsnummer 2, i henhold til NS 3451</t>
        </r>
        <r>
          <rPr>
            <sz val="9"/>
            <color indexed="81"/>
            <rFont val="Tahoma"/>
            <family val="2"/>
          </rPr>
          <t xml:space="preserve">
 21 Grunn og fundament
 22 Bæresystem
 23 Yttervegger 
 24 Innervegger 
 25 Gulv på grunn, dekker og overflater 
 26 Yttertak 
 28 Trapp, heis og balkonger
 Materialer som inngår i lokalt energiproduksjonsutstyr som ikke er dekket av NS 3451 (eksempel: sol, energibrønn)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Oddbjørn Dahlstrøm Andvik</author>
  </authors>
  <commentList>
    <comment ref="E67" authorId="0" shapeId="0" xr:uid="{4A28F685-8235-4CE8-83E9-63CF8E764DC7}">
      <text>
        <r>
          <rPr>
            <sz val="9"/>
            <color indexed="81"/>
            <rFont val="Tahoma"/>
            <family val="2"/>
          </rPr>
          <t xml:space="preserve">Anbefalt standard virknigsfaktor fra Fjernkontrollen.
Der hvor selskapene ikke har oppgitt spesifikke tall på hvor mye elektrisitet som er brukt i varmepumpen, har vi har i denne kalkulatoren brukt en generell COP-faktor på 3 for varmepumper i fjernvarmen. </t>
        </r>
      </text>
    </comment>
    <comment ref="E68" authorId="0" shapeId="0" xr:uid="{6BE4F9C5-DE76-469E-B922-A5F48543FC31}">
      <text>
        <r>
          <rPr>
            <sz val="9"/>
            <color indexed="81"/>
            <rFont val="Tahoma"/>
            <family val="2"/>
          </rPr>
          <t xml:space="preserve">Regneregel FB 0,86
Antatt 98%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<sst xmlns="http://schemas.openxmlformats.org/spreadsheetml/2006/main" count="3575" uniqueCount="638">
  <si>
    <t>Mal for klimagassberegninger i detaljreguleringsplaner</t>
  </si>
  <si>
    <t>Versjon</t>
  </si>
  <si>
    <t>Dato</t>
  </si>
  <si>
    <t>Plan- og bygningsetaten</t>
  </si>
  <si>
    <t>Beskrivelse</t>
  </si>
  <si>
    <r>
      <t xml:space="preserve">Denne malen er omfattet av </t>
    </r>
    <r>
      <rPr>
        <i/>
        <sz val="11"/>
        <color theme="1"/>
        <rFont val="Oslo Sans"/>
      </rPr>
      <t>Veiledning til klimagassberegninger i detaljreguleringsplaner</t>
    </r>
    <r>
      <rPr>
        <sz val="11"/>
        <color theme="1"/>
        <rFont val="Oslo Sans"/>
      </rPr>
      <t xml:space="preserve"> i plan- og byggesaker, for Plan- og bygningsetaten i Oslo kommune.</t>
    </r>
  </si>
  <si>
    <t xml:space="preserve">Mal og veileder er utviklet av </t>
  </si>
  <si>
    <t>Bygg- og anleggsvirksomhet står for en stor andel av klimagassutslippene. For å begrense klimagassutslippene er det som bygges er det viktig å gjøre beregninger av klimagassutslippet i en tidlig fase hvor mulighetene for å påvirke byggeprosjekters klimaprofil er størst. Dette er grunnen til at klimagassberegninger i detaljreguleringssaker er så viktige. 
For at det skal bli enklest mulig å lage klimagassberegninger har vi utviklet en mal for dette. Malen skal også gjøre det enklere å levere klimagassberegninger til plan- og bygningsetaten som treffer behovene i saksbehandlingen, skaper grunnlag for en konstruktiv dialog og som gir grunnlag for at saken er godt opplyst ved offentlig ettersyn og ved oversendelse til politisk behandling. Ved å standardisere klimagassberegninger vil det bli enklere for saksbehandlere og andre interessenter å forstå og vurdere klimagassberegningene som blir levert.   
Å samle inn klimagassberegninger vil gi kommunen erfaringstall og økt kunnskap om klimagassutslipp fra byutviklingen i Oslo, og kan brukes til å vurdere tiltak og virkemidler i fremtiden.  </t>
  </si>
  <si>
    <t>Veiledere</t>
  </si>
  <si>
    <t>Det henvises til følgende veiledere for ytterligere informasjon</t>
  </si>
  <si>
    <t>Veileder for fagkyndige</t>
  </si>
  <si>
    <t>Veileder for saksbehandlere</t>
  </si>
  <si>
    <t>Versjonslogg</t>
  </si>
  <si>
    <t>Revisjon</t>
  </si>
  <si>
    <t>1. utgave</t>
  </si>
  <si>
    <t>Resultater</t>
  </si>
  <si>
    <t>Denne fanen oppsummerer resultater av klimagassberegningene for de ulike alternativene. Hovedresultat (beregnet klimagassutslipp) er vist i rad merket med grønn farge (Sum, A1-C4).</t>
  </si>
  <si>
    <t>Resultater er sammenliknet med referansebygg fra DFØ (Kriterieveiviser for bygg, Klimagasskrav for hele bygget). Farger i tabell viser oversikelig forskjell fra beregnet utslipp i alternativer sammenliknet mot referansebygg. Rød medfører 10% høyere utslipp  enn referansebygg. Gul er lik +-10% fra referansebygg. Grønn er fra 10% og til 90% lavere enn referansebygg.  Grå betyr at utslippene utgjør 0-10% av referansen og indikerer at utslippene kan være mangelfulle. Da bør beskrivelse og tall sjekkes nøye (det er ikke sikkert det er feil med så lave utslipp).</t>
  </si>
  <si>
    <t>Malen tar utgangspunkt i definert omfang (bygningsdeler og livsløpsmoduler) i NS 3720 med omfang basis uten lokalisering. Utslipp fra grunnarbeider og arealbruksendringer er også inkludert.</t>
  </si>
  <si>
    <t>Beregnet klimagassutslipp fra alternativ</t>
  </si>
  <si>
    <t>antall</t>
  </si>
  <si>
    <t xml:space="preserve">Beregnet klimagassutslipp </t>
  </si>
  <si>
    <t>Alternativ 1</t>
  </si>
  <si>
    <t>Alternativ 2</t>
  </si>
  <si>
    <t>Alternativ 3</t>
  </si>
  <si>
    <t>Alternativ 4</t>
  </si>
  <si>
    <t>Alternativ 5</t>
  </si>
  <si>
    <t>Ref</t>
  </si>
  <si>
    <t>Modul</t>
  </si>
  <si>
    <t>Tonn CO2-ekv</t>
  </si>
  <si>
    <t>Sammenlikning</t>
  </si>
  <si>
    <t>Referanse 2020</t>
  </si>
  <si>
    <t>Riving (eksisterende bygg), C1-C4</t>
  </si>
  <si>
    <t>Materialer (produksjon), A1-A4, fundamentering</t>
  </si>
  <si>
    <t>Riving (eksisterende bygg og bygg i fremtiden)</t>
  </si>
  <si>
    <t>Riving (eksisterende bygg)</t>
  </si>
  <si>
    <t>Materialer (produksjon, transport, utskifting), A1-A3, A4, B1-B5</t>
  </si>
  <si>
    <t>Materialer (produksjon, transport, utskifting)</t>
  </si>
  <si>
    <t>Byggeplass (kapp, svinn, avfall, energi og massetransport), A5</t>
  </si>
  <si>
    <t>Byggeplass (kapp, svinn, avfall, energi og massetransport)</t>
  </si>
  <si>
    <t>Energibruk i drift, B6</t>
  </si>
  <si>
    <t>Energibruk i drift</t>
  </si>
  <si>
    <t>Arealbruksendring (nedbygging og nyetablering), A5, B1</t>
  </si>
  <si>
    <t>Arealbruksendring (nedbygging og nyetablering)</t>
  </si>
  <si>
    <t>Riving (bygg i fremtiden), C1-C4</t>
  </si>
  <si>
    <t>Riving (bygg i fremtiden)</t>
  </si>
  <si>
    <t>B8: Transport i drift, tonn CO2-ekv (ikke obligatorisk)</t>
  </si>
  <si>
    <t>D: Restutslipp bygg som rives før 50 års levetid, tonn CO2-ekv</t>
  </si>
  <si>
    <t>Andre resultater, A1-C4</t>
  </si>
  <si>
    <t>Total utslipp per BTA i byggets levetid (kg CO2-elv/m2 BTA) </t>
  </si>
  <si>
    <t>Total utslipp per oppvarmet BRA i byggets levetid (kg CO2-ekv/m2 BRA) </t>
  </si>
  <si>
    <t>Total utslipp per person/bruker i byggets levetid (tonn CO2-ekv/bruker) </t>
  </si>
  <si>
    <t>Antall brukere</t>
  </si>
  <si>
    <t>Arealer</t>
  </si>
  <si>
    <t>Arealtype, se under fanen "Alternativ" for detaljer</t>
  </si>
  <si>
    <t>Oppvarmet BRA</t>
  </si>
  <si>
    <t>BTA</t>
  </si>
  <si>
    <t>Nybygg, m2, over bakken</t>
  </si>
  <si>
    <t>Eksisterende bygg som rehabiliteres, m2, over bakken</t>
  </si>
  <si>
    <t>Eksisterende bygg som rives, m2, over bakken</t>
  </si>
  <si>
    <t>Areal under bakken, oppvarmet (sum av nybygg og eksisterende)</t>
  </si>
  <si>
    <t>Areal under bakken, parkeringskjeller o.l. (sum av nybygg og eksisterende)</t>
  </si>
  <si>
    <t>Araler, nybygg og eksiterende som rebahbiliteres</t>
  </si>
  <si>
    <t>Resultatfigurer</t>
  </si>
  <si>
    <t>Areal</t>
  </si>
  <si>
    <t>Referanse</t>
  </si>
  <si>
    <t>Figur: Totale klimagassutslipp for ulike alternativer, tonn CO2 ekv over beregningsperioden.</t>
  </si>
  <si>
    <t>Figur: Klimagassutslipp for ulike alternativer, i kg CO2 ekv/m2 oppvarmet BRA</t>
  </si>
  <si>
    <t>Figur: Klimagassutslipp for ulike alternativer, i tonn CO2 ekv/bruker</t>
  </si>
  <si>
    <t>Info om prosjektet</t>
  </si>
  <si>
    <t>Fyll ut informasjon i celler som er merket med blå farge</t>
  </si>
  <si>
    <t>Klimaberegninger utført av</t>
  </si>
  <si>
    <t>Firma</t>
  </si>
  <si>
    <t>Person</t>
  </si>
  <si>
    <t>Fyll inn data</t>
  </si>
  <si>
    <t>Saksnummer</t>
  </si>
  <si>
    <t>Plannavn/Adresse</t>
  </si>
  <si>
    <t>Gårdnummer</t>
  </si>
  <si>
    <t>Bruksnummer</t>
  </si>
  <si>
    <t>Velg fase</t>
  </si>
  <si>
    <t>Utfylt av</t>
  </si>
  <si>
    <t>1. gangsbehandling</t>
  </si>
  <si>
    <t>Datert</t>
  </si>
  <si>
    <t>Flytte noe til materailer, energi osv?</t>
  </si>
  <si>
    <t>2 gangsbehandling</t>
  </si>
  <si>
    <t>Fase i prosessen hvor beregning er utført</t>
  </si>
  <si>
    <t>Ferdigattest*</t>
  </si>
  <si>
    <t>Rammesøknad</t>
  </si>
  <si>
    <t>Alternativ</t>
  </si>
  <si>
    <t>Verktøy</t>
  </si>
  <si>
    <t>Velg antall</t>
  </si>
  <si>
    <t>Velg verktøy</t>
  </si>
  <si>
    <t>*kreves ikke av Oslo kommune, men er et krav i Byggteknisk forskrift (TEK17, §17.1).</t>
  </si>
  <si>
    <t>Kommentar</t>
  </si>
  <si>
    <t>Reduzer</t>
  </si>
  <si>
    <t>Hvor mange alternativ er utredet?</t>
  </si>
  <si>
    <t>OneClick LCA</t>
  </si>
  <si>
    <t>Verktøy for klimaberegninger</t>
  </si>
  <si>
    <t>ISY Calcus</t>
  </si>
  <si>
    <t>Datagrunnlag</t>
  </si>
  <si>
    <t>Velg datagrunnlag</t>
  </si>
  <si>
    <t>Annet (spesifiser)</t>
  </si>
  <si>
    <t>Beregningsperiode for bygget (50 år standard)</t>
  </si>
  <si>
    <t>Resultater er beregnet med følgende GWP faktor</t>
  </si>
  <si>
    <t>Velg GWP faktor</t>
  </si>
  <si>
    <t>GWP</t>
  </si>
  <si>
    <t>Antatt byggestart (år)</t>
  </si>
  <si>
    <t>GWP (usikker, men uten biogent karbon)</t>
  </si>
  <si>
    <t>GWP (usikker)</t>
  </si>
  <si>
    <t>Referansebygg i verktøy</t>
  </si>
  <si>
    <t>Innstillinger som skal benyttes i Reduzer</t>
  </si>
  <si>
    <t>Innstillinger som skal benyttes i OneClick LCA (LCA parametere)</t>
  </si>
  <si>
    <t>Innstillinger som skal benyttes i LCA verktøy</t>
  </si>
  <si>
    <t>GWP fossil</t>
  </si>
  <si>
    <t>DFØ/referansebygg ikke justert/tilpasset</t>
  </si>
  <si>
    <t>Beregninger basert på NS3720</t>
  </si>
  <si>
    <t>Brukstid for materialer (obligatorisk): Norge DFØ standard levetid</t>
  </si>
  <si>
    <t>DFØ Kriterieveiviser, Nybygg og rehabilitering, Klimagasskrav for hele bygget, Dokumentasjon av endringer i referansenivåer</t>
  </si>
  <si>
    <t>GWP IOBC</t>
  </si>
  <si>
    <t>DFØ/referanse justert/tilpasset</t>
  </si>
  <si>
    <t>DFØ instillinger</t>
  </si>
  <si>
    <t>Transportavstandsverdier for materialer: Norge DFØ</t>
  </si>
  <si>
    <t>Utslippsfaktor for transport (A4), transportdistander og leveider fra dokumentasjon DFØ</t>
  </si>
  <si>
    <t>Mengder fra modell</t>
  </si>
  <si>
    <t>Lokaliseringsmetode for materialproduksjon: Deaktiver materiallokalisering</t>
  </si>
  <si>
    <t>Mengder fra kalkyle</t>
  </si>
  <si>
    <t>Prosjektbeskrivelse</t>
  </si>
  <si>
    <t>Kalkylemetode for endt livsløp: Markedsscenarioer</t>
  </si>
  <si>
    <t>Kombinasjon (spesifiser)</t>
  </si>
  <si>
    <t>Gi en kort oppsummering av klimagassberegningene:</t>
  </si>
  <si>
    <t>Overordnet klimamål i prosjektet:</t>
  </si>
  <si>
    <t>flytt til generelt</t>
  </si>
  <si>
    <t>Dato for siste revisjon av beregninger</t>
  </si>
  <si>
    <t>Om prosjektet:</t>
  </si>
  <si>
    <t>Eksernt rapport som dokumenterer klimaberegninger</t>
  </si>
  <si>
    <t>Om resultatet:</t>
  </si>
  <si>
    <t>Eventuelle avvik fra rapportmal/føringer i veilederen for klimagassberegninger:</t>
  </si>
  <si>
    <t>Beskrivelse av usikkerhet. Eksempel er vurdering av datakvalitet (mengder, arealer), bruk av utslippsfaktorer og resultater:</t>
  </si>
  <si>
    <t>Er det utført scenario/sensitivitetsvurdering av datagrunnlag og utslippsfaktorer som påvirker resultat og konklusjon?</t>
  </si>
  <si>
    <t>Usikker på om dette under skal være med</t>
  </si>
  <si>
    <t>Gi en kort beskrivelse av prosjektet.</t>
  </si>
  <si>
    <t>Sett inn figur for eksisterende situasjon</t>
  </si>
  <si>
    <t>Sett inn figur for ny situasjon - nybygg</t>
  </si>
  <si>
    <t>Sett inn figur for ny situasjon - bevaring</t>
  </si>
  <si>
    <t>Skjules</t>
  </si>
  <si>
    <t>Navn på alternativ</t>
  </si>
  <si>
    <r>
      <t xml:space="preserve">Tiltak: </t>
    </r>
    <r>
      <rPr>
        <sz val="10"/>
        <color theme="1"/>
        <rFont val="Oslo Sans"/>
      </rPr>
      <t>Beskrivelse tiltak på bygg, hva er inkludert i beregninger og hvorfor er resultater slik de er oppgitt? Hva er sikret av tiltak i videre fase?</t>
    </r>
  </si>
  <si>
    <t>Bevaring av eksisterende bebyggelse</t>
  </si>
  <si>
    <t>Parkeringskjeller og tilsvarende</t>
  </si>
  <si>
    <t>Materialbruk:</t>
  </si>
  <si>
    <t>Oppvarmet areal</t>
  </si>
  <si>
    <t>Energibehov, valg av energiløsninger og energikilder</t>
  </si>
  <si>
    <t>Bygge- og anleggsperiode</t>
  </si>
  <si>
    <r>
      <rPr>
        <b/>
        <sz val="10"/>
        <color theme="1"/>
        <rFont val="Oslo Sans"/>
      </rPr>
      <t>Obligatorisk</t>
    </r>
    <r>
      <rPr>
        <sz val="10"/>
        <color theme="1"/>
        <rFont val="Oslo Sans"/>
      </rPr>
      <t>: Fyll ut obligatorisk informasjon i celler som er merket med blå farge</t>
    </r>
  </si>
  <si>
    <r>
      <rPr>
        <b/>
        <sz val="10"/>
        <color theme="1"/>
        <rFont val="Oslo Sans"/>
      </rPr>
      <t>Ikke obligatorisk:</t>
    </r>
    <r>
      <rPr>
        <sz val="10"/>
        <color theme="1"/>
        <rFont val="Oslo Sans"/>
      </rPr>
      <t xml:space="preserve"> Fyll ut valgfri informasjon i celler som er merket med grønn farge</t>
    </r>
  </si>
  <si>
    <t>Referanseutslipp 2023</t>
  </si>
  <si>
    <t>Referanseverdier 2020</t>
  </si>
  <si>
    <t>Beregninger</t>
  </si>
  <si>
    <t>Beregnet utslipp, basert på areal, kg CO2 e</t>
  </si>
  <si>
    <t>Areal og funksjon</t>
  </si>
  <si>
    <t>Bygningskategori</t>
  </si>
  <si>
    <t>Nybygg, m2</t>
  </si>
  <si>
    <t>Bygg som beholdes/
rehabiliteres, m2</t>
  </si>
  <si>
    <t>Bygg som rives, m2</t>
  </si>
  <si>
    <t>Innvendig høyde bygg, m</t>
  </si>
  <si>
    <t>Funksjon</t>
  </si>
  <si>
    <t>kg CO2 e/m2 BTA</t>
  </si>
  <si>
    <t>Nybygg</t>
  </si>
  <si>
    <t>Bygg som beholdes/rehabiliteres, m2</t>
  </si>
  <si>
    <t>Bygg som beholdes/rehabiliteres</t>
  </si>
  <si>
    <t>Sum</t>
  </si>
  <si>
    <t>Antall</t>
  </si>
  <si>
    <t>Enhet</t>
  </si>
  <si>
    <t>vise høyde, 1=ja, 0=nei</t>
  </si>
  <si>
    <t>vise funksjon</t>
  </si>
  <si>
    <t>Referanseverdier 2023</t>
  </si>
  <si>
    <t>A1-A3</t>
  </si>
  <si>
    <t>A4</t>
  </si>
  <si>
    <t>A5 (kapp og svinn)</t>
  </si>
  <si>
    <t>B2, B4</t>
  </si>
  <si>
    <t>C1-C4</t>
  </si>
  <si>
    <t>A1-A3,A4,B2B4</t>
  </si>
  <si>
    <t>Areal over bakken 1:</t>
  </si>
  <si>
    <t>Kontorbygg</t>
  </si>
  <si>
    <t>Areal over bakken 2:</t>
  </si>
  <si>
    <t>Boligblokk</t>
  </si>
  <si>
    <t>Areal over bakken 3:</t>
  </si>
  <si>
    <t>Areal over bakken 4:</t>
  </si>
  <si>
    <t>Velg arealtype</t>
  </si>
  <si>
    <t>Areal under bakken 1:</t>
  </si>
  <si>
    <t>Areal under bakken 2:</t>
  </si>
  <si>
    <t>Fundamentering</t>
  </si>
  <si>
    <t>Snitt dybde til fjell, meter</t>
  </si>
  <si>
    <t>Bebygd areal (BYA)</t>
  </si>
  <si>
    <t>Samlet fotavtrykk, m2</t>
  </si>
  <si>
    <t>Byggeår</t>
  </si>
  <si>
    <t>År</t>
  </si>
  <si>
    <t>Antall bosatte i leiligheter, inkl barn 0-17 år</t>
  </si>
  <si>
    <t>Justert antall</t>
  </si>
  <si>
    <t>over</t>
  </si>
  <si>
    <t>Byggestart</t>
  </si>
  <si>
    <t>Leiligheter: antall personer per privathusholdning, Oslo kommune</t>
  </si>
  <si>
    <t>Standard 1,95. SSB tabell 09747, år 2024</t>
  </si>
  <si>
    <t>stk/husholdning</t>
  </si>
  <si>
    <t>under</t>
  </si>
  <si>
    <t>Bygg er fra</t>
  </si>
  <si>
    <t>Levetid bygg</t>
  </si>
  <si>
    <t>år</t>
  </si>
  <si>
    <t>Restlevetid, 50 år</t>
  </si>
  <si>
    <t>Energi i drift (B6)</t>
  </si>
  <si>
    <t>Levert energi</t>
  </si>
  <si>
    <t>Beregning solceller</t>
  </si>
  <si>
    <t>Restutslipp</t>
  </si>
  <si>
    <t>Beregnet levert strøm</t>
  </si>
  <si>
    <t>Ikke inkludert produksjon fra solceller</t>
  </si>
  <si>
    <t>kWh, pr år</t>
  </si>
  <si>
    <t xml:space="preserve">Antall tilgjengelige arbeidsplasser </t>
  </si>
  <si>
    <t xml:space="preserve">arbeidsplasser, </t>
  </si>
  <si>
    <t>Beregnet levert fjernvarme</t>
  </si>
  <si>
    <t>Beregnet levert energi fjernvarme</t>
  </si>
  <si>
    <t>Antall leiligheter</t>
  </si>
  <si>
    <t>Energiberegning</t>
  </si>
  <si>
    <t>Annen kilde, spesifiser</t>
  </si>
  <si>
    <t>tonn CO2 e</t>
  </si>
  <si>
    <t>Antall tilgjengelig elevplasser</t>
  </si>
  <si>
    <t xml:space="preserve">elevplasser, </t>
  </si>
  <si>
    <t>Totalt levert energi, kWh/år</t>
  </si>
  <si>
    <t>Utslippsfaktor, annen kilde</t>
  </si>
  <si>
    <t>Fossilt utslipp, kg CO2 ekv/kWh</t>
  </si>
  <si>
    <t>kg CO2 ekv/kWh</t>
  </si>
  <si>
    <t>Benytter oppvarmet BRA</t>
  </si>
  <si>
    <t>Totalt areal, m2 BRA</t>
  </si>
  <si>
    <t>A</t>
  </si>
  <si>
    <t>B</t>
  </si>
  <si>
    <t>C</t>
  </si>
  <si>
    <t>D</t>
  </si>
  <si>
    <t>E</t>
  </si>
  <si>
    <t>F</t>
  </si>
  <si>
    <t>Areal solceller</t>
  </si>
  <si>
    <t>m2</t>
  </si>
  <si>
    <t>Vise justering leilighet</t>
  </si>
  <si>
    <t>Antall beboere</t>
  </si>
  <si>
    <t xml:space="preserve">beboere på sykehjem, </t>
  </si>
  <si>
    <t>Småhus/rekkehus</t>
  </si>
  <si>
    <t>Levert strøm fra solceller</t>
  </si>
  <si>
    <t>Produsert strøm pr år (negativt tall)</t>
  </si>
  <si>
    <t>Leilighet</t>
  </si>
  <si>
    <t>dette brukes</t>
  </si>
  <si>
    <t>Antall bosatte</t>
  </si>
  <si>
    <t xml:space="preserve">bosatte, </t>
  </si>
  <si>
    <t>Detaljert i energiberegninger</t>
  </si>
  <si>
    <t>Produksjon PV</t>
  </si>
  <si>
    <t>Antall plasser for barn</t>
  </si>
  <si>
    <t xml:space="preserve">plasser for barn, </t>
  </si>
  <si>
    <t>Barnehage</t>
  </si>
  <si>
    <t>Datagrunnlag energi</t>
  </si>
  <si>
    <t>Standard basert på energiklasse</t>
  </si>
  <si>
    <t>Antall besøkende pr år</t>
  </si>
  <si>
    <t xml:space="preserve">besøkende pr år, </t>
  </si>
  <si>
    <t>Beregning arealbruksendring</t>
  </si>
  <si>
    <t>Antall senger</t>
  </si>
  <si>
    <t xml:space="preserve">hotellsenger, </t>
  </si>
  <si>
    <t>Skolebygg</t>
  </si>
  <si>
    <t>Solceller</t>
  </si>
  <si>
    <t>Valg</t>
  </si>
  <si>
    <t>A5</t>
  </si>
  <si>
    <t>Antall parkeringsplasser</t>
  </si>
  <si>
    <t>Sykehjem</t>
  </si>
  <si>
    <t>Inkluderer beregnet klimagassutslipp utslipp fra produksjon og montering av solceller?*</t>
  </si>
  <si>
    <t>Nei</t>
  </si>
  <si>
    <t>Vise solcelle</t>
  </si>
  <si>
    <t>kg CO2 e</t>
  </si>
  <si>
    <t>Hotellbygning</t>
  </si>
  <si>
    <t>Vises?</t>
  </si>
  <si>
    <t>Velg: ja/nei</t>
  </si>
  <si>
    <t>Standard</t>
  </si>
  <si>
    <t>Idrettsbygning</t>
  </si>
  <si>
    <t>Ja</t>
  </si>
  <si>
    <t>Valg antall p/leilighet</t>
  </si>
  <si>
    <t>Forretning/næringsbygg</t>
  </si>
  <si>
    <t>Kulturbygning</t>
  </si>
  <si>
    <t>Masser og arealbruk</t>
  </si>
  <si>
    <t>Avstand, km, en vei (50 km standard, kan justeres)</t>
  </si>
  <si>
    <t>Volum</t>
  </si>
  <si>
    <t>Drivstoff</t>
  </si>
  <si>
    <t>Antall bosatte i leilighet og bolig</t>
  </si>
  <si>
    <t>Lett industri/verksteder</t>
  </si>
  <si>
    <t>Masser</t>
  </si>
  <si>
    <t>Masser ut, volum</t>
  </si>
  <si>
    <t>pfm3</t>
  </si>
  <si>
    <t>Elektrisk kjøretøy</t>
  </si>
  <si>
    <t>Beregning massetransport</t>
  </si>
  <si>
    <t>B1</t>
  </si>
  <si>
    <t>Utslipp</t>
  </si>
  <si>
    <t>Masser inn, volum</t>
  </si>
  <si>
    <t>Velg drivstoff</t>
  </si>
  <si>
    <t>Arealbeslag (arealtyper som bygges ned)</t>
  </si>
  <si>
    <t>kg CO2 e/pfm km</t>
  </si>
  <si>
    <t>Skog - Lav bonitet </t>
  </si>
  <si>
    <t>Veidiesel</t>
  </si>
  <si>
    <t>kg CO2 e/liter</t>
  </si>
  <si>
    <t>Skog - Middels bonitet </t>
  </si>
  <si>
    <t>Skog - Høy bonitet </t>
  </si>
  <si>
    <t>Biogass</t>
  </si>
  <si>
    <t>kg CO2e/kg</t>
  </si>
  <si>
    <t>Utslipp transport</t>
  </si>
  <si>
    <t>Myr (dybde 2 meter)</t>
  </si>
  <si>
    <t>Kapasitet</t>
  </si>
  <si>
    <t>pfm/lass</t>
  </si>
  <si>
    <t>stk</t>
  </si>
  <si>
    <t>Etablering av nytt terreng og grønne flater</t>
  </si>
  <si>
    <t>Areal/stk</t>
  </si>
  <si>
    <t>Massetransport (bil)</t>
  </si>
  <si>
    <t>l/km</t>
  </si>
  <si>
    <t>VegLCA 5.14b</t>
  </si>
  <si>
    <t>Snitt forbruk: 0,45 l/km. Tetthet fjell: 2,7 tonn/pfm3. Kapasitet: 25 tonn/lass eller 9,3 pfm/lass</t>
  </si>
  <si>
    <t>Areal med busksjikt, liten, under en meter høyde</t>
  </si>
  <si>
    <t>Elbil</t>
  </si>
  <si>
    <t>kWh el per liter diesel</t>
  </si>
  <si>
    <t>Areal med busksjikt, medium, mellom en og to meter høyde</t>
  </si>
  <si>
    <t>Forbruk biogass</t>
  </si>
  <si>
    <t>Sm3/km</t>
  </si>
  <si>
    <t>Buss 18 m</t>
  </si>
  <si>
    <t>https://www.mjosanlegget.no/wp-content/uploads/2019/10/Endrava_biogass_klimatiltak_buss_rev1-1.pdf</t>
  </si>
  <si>
    <t>Areal med busksjikt, stor, over to meter høyde</t>
  </si>
  <si>
    <t>https://norsus.no/wp-content/uploads/or0719-tilpasning-av-tyngre-kjoeretoey-og-anleggsmaskiner-for-drift-med-biogass-2019.pdf</t>
  </si>
  <si>
    <t>Grønne overflater (gressarmert dekke), mineraljord</t>
  </si>
  <si>
    <t>kg/SM3</t>
  </si>
  <si>
    <t>Store trær – fremtidig høyde over 15 meter</t>
  </si>
  <si>
    <t>Medium trær – fremtidig høyde mellom 10 og 15 meter</t>
  </si>
  <si>
    <t>Beregnet utslipp fra transport</t>
  </si>
  <si>
    <t>Små trær – fremtidig høyde under 10 meter</t>
  </si>
  <si>
    <t>Standard avstand</t>
  </si>
  <si>
    <t>Tur retur</t>
  </si>
  <si>
    <t>Beregnet</t>
  </si>
  <si>
    <t>tonn CO2e</t>
  </si>
  <si>
    <t xml:space="preserve">Alternativ 1: Resultat. Tabell for beregnet klimagassutslipp </t>
  </si>
  <si>
    <t>Moduler (Klimagassregnskapet skal ikke inkludere biogent karbon)</t>
  </si>
  <si>
    <t>Sammenlikning mot referanse</t>
  </si>
  <si>
    <t>skjules</t>
  </si>
  <si>
    <t>Nybygg over bakken</t>
  </si>
  <si>
    <t>Bygg som beholdes/
rehabiliteres/
rives, m2</t>
  </si>
  <si>
    <t>Nybygg og reha-bilitering areal under bakken</t>
  </si>
  <si>
    <t>Rød, fra%</t>
  </si>
  <si>
    <t>Gul, fra %</t>
  </si>
  <si>
    <t>Grønn, fra%</t>
  </si>
  <si>
    <t>Grå, fra</t>
  </si>
  <si>
    <t>Rivefase og avfallshåndtering av eksisterende areal (C1-C4 for eksisterende areal)</t>
  </si>
  <si>
    <t>Over referanse</t>
  </si>
  <si>
    <t>N/A</t>
  </si>
  <si>
    <t>ingen riving</t>
  </si>
  <si>
    <t xml:space="preserve">A1-A4: Produksjon og transport av materialer -  21 Grunn og fundament </t>
  </si>
  <si>
    <t>A1-A3: Produksjon av materialer - kapittel 22-28</t>
  </si>
  <si>
    <t>A4: Transport av materialer fra produksjonssted til byggeplass</t>
  </si>
  <si>
    <t>A5a: Byggeplass, materialbruk, avfall, kapp og svinn ved bygging</t>
  </si>
  <si>
    <t>A5b: Byggeplass, energibruk byggeaktiviteter (ekskl. massetransport)</t>
  </si>
  <si>
    <t>A5c: Byggeplass, transport av masser</t>
  </si>
  <si>
    <t>A5d: Arealbruksendringer/arealbeslag ved bygging (nedbygging av natur)</t>
  </si>
  <si>
    <t>Netto utslipp fra arealbruksendringer</t>
  </si>
  <si>
    <t>Ingen nedbygging av natur</t>
  </si>
  <si>
    <t>Netto økt opptak av CO2</t>
  </si>
  <si>
    <t>B1: Karbonbinding ved nyetablering av arealtyper (etablering av natur)</t>
  </si>
  <si>
    <t>C1-C4: Rivning, transport, avfallsbehandling og avhending</t>
  </si>
  <si>
    <t>A1-C4: Solceller (beregnet basert på areal)</t>
  </si>
  <si>
    <t>Sum, A1-C4</t>
  </si>
  <si>
    <t>Moduler som ikke inkluderes i resultatfanen</t>
  </si>
  <si>
    <t>B8: Transport i drift</t>
  </si>
  <si>
    <r>
      <rPr>
        <b/>
        <i/>
        <sz val="10"/>
        <color theme="1"/>
        <rFont val="Oslo Sans"/>
      </rPr>
      <t xml:space="preserve">Beskrivelse: </t>
    </r>
    <r>
      <rPr>
        <i/>
        <sz val="10"/>
        <color theme="1"/>
        <rFont val="Oslo Sans"/>
      </rPr>
      <t xml:space="preserve">
Beregnes basert på DFØ tall, areal som rives og restlevetid fra riveår til 50 år. Bygg som står over 50 år har ingen "negativ" restlevetid. 
Dette er teoretisk utslipp som er "igjen" av bygget basert på en 50 års beregningsperiode. Eksempel: Et bygg har et beregnet klimautslipp A1-A4 på 100 tonn CO2 e, 50 års beregningsperiode. Rives bygget 20 år etter oppføring "gjenstår" 30 år med utslipp fra bygget. Restutslipp bygg som rives er da beregnet slik: 100 tonn CO2 e / 50 år beregningsperiode * 30 år restlevetid = 60 tonn CO2 ekv. </t>
    </r>
  </si>
  <si>
    <t>Utslippsfaktor, kg CO2 e/kWh</t>
  </si>
  <si>
    <t>Utslipp fra forbrenning av avfall i fjernvarmemiks er utelatt</t>
  </si>
  <si>
    <t>Strøm</t>
  </si>
  <si>
    <t>Fjernvarme</t>
  </si>
  <si>
    <t>Annen kilde</t>
  </si>
  <si>
    <t>Scenario 1 NS3720: NO miks</t>
  </si>
  <si>
    <t>tonn CO2 ekv</t>
  </si>
  <si>
    <t>kWh/år</t>
  </si>
  <si>
    <t>Scenario 2 NS3720: NO + EU miks</t>
  </si>
  <si>
    <t>FV</t>
  </si>
  <si>
    <t>Annen</t>
  </si>
  <si>
    <t>Solcelle</t>
  </si>
  <si>
    <t>Utslipp fra forbrenning av avfall i fjernvarmemiks er inkludert, hvor det er benyttet en 50/50 allokering av utslipp til energigjenvinning/slutthåndtering av avfall, iht. Europakommisjonens PEF, OEF guide og FutureBuilt ZERO.</t>
  </si>
  <si>
    <t>Antall år</t>
  </si>
  <si>
    <t>Scenario 2 NS3720: NO + EU miks (denne benyttes som standard)</t>
  </si>
  <si>
    <t>Mulighet for detaljerte resultater, alternativ 1</t>
  </si>
  <si>
    <t>Vise tabeller?</t>
  </si>
  <si>
    <t>Nybygg, tonn CO2 ekv over 50 år</t>
  </si>
  <si>
    <t>Bygningsdel </t>
  </si>
  <si>
    <t xml:space="preserve">A1-A4: kap 21: Grunn og fundament </t>
  </si>
  <si>
    <t>A1-A3: Produksjon av materialer - kapittel 22-28 (uten solceller og andre installasjoner for energiproduksjon)</t>
  </si>
  <si>
    <t>B6: Energi i drift, 50 år</t>
  </si>
  <si>
    <t>A1-C4: Solceller og andre installasjoner for energiproduksjon</t>
  </si>
  <si>
    <t>Annet: legg inn beskrivelse</t>
  </si>
  <si>
    <t>21 Grunn og fundament</t>
  </si>
  <si>
    <t>Valg i verktøy</t>
  </si>
  <si>
    <t>DFØ referanse</t>
  </si>
  <si>
    <t>Referansebygg</t>
  </si>
  <si>
    <t>22 Bæresystem</t>
  </si>
  <si>
    <t>tom</t>
  </si>
  <si>
    <t>23 Yttervegger </t>
  </si>
  <si>
    <t>Kontor: arbeidsplasser</t>
  </si>
  <si>
    <t>24 Innervegger </t>
  </si>
  <si>
    <t>Boligblokk: leiligheter</t>
  </si>
  <si>
    <t>GÅ over siden - rett opp fanen</t>
  </si>
  <si>
    <t>25 Gulv på grunn, dekker og overflater </t>
  </si>
  <si>
    <t>Skole: elever</t>
  </si>
  <si>
    <t>26 Yttertak </t>
  </si>
  <si>
    <t>Forretning/næring: areal</t>
  </si>
  <si>
    <t>Oppvarmet areal BRA</t>
  </si>
  <si>
    <t>m2 BRA</t>
  </si>
  <si>
    <t>28 Trapp, heis og balkonger </t>
  </si>
  <si>
    <t>Sykehjem: beboere</t>
  </si>
  <si>
    <t>Beregnet utslipp som ikke fordlet på bygningsdeler</t>
  </si>
  <si>
    <t>Småhus</t>
  </si>
  <si>
    <t>Småhus: bosatte</t>
  </si>
  <si>
    <t>Barenehage: barn</t>
  </si>
  <si>
    <t>Kultur: besøk</t>
  </si>
  <si>
    <t>Hotell: sengeplasser</t>
  </si>
  <si>
    <t>Totalt (tonn CO2 ekv) </t>
  </si>
  <si>
    <t>Industri</t>
  </si>
  <si>
    <t>Idrett: areal</t>
  </si>
  <si>
    <t>Industri: areal</t>
  </si>
  <si>
    <t>Annet (sepsifiser)</t>
  </si>
  <si>
    <t>Annet: areal</t>
  </si>
  <si>
    <t>Annet</t>
  </si>
  <si>
    <t>Bygg som beholdes/rehabiliteres, tonn CO2 ekv over 50 år</t>
  </si>
  <si>
    <t>Oppvarmet kjeller</t>
  </si>
  <si>
    <t>Oppvarmet kjeller: areal</t>
  </si>
  <si>
    <t>Uoppvarmet kjeller</t>
  </si>
  <si>
    <t>Ikke oppvarmet kjeller: parkeringsplasser</t>
  </si>
  <si>
    <t>UTGÅR</t>
  </si>
  <si>
    <t xml:space="preserve">Alternativ 2: Resultat. Tabell for beregnet klimagassutslipp </t>
  </si>
  <si>
    <r>
      <t xml:space="preserve">Beskrivelse: 
</t>
    </r>
    <r>
      <rPr>
        <i/>
        <sz val="10"/>
        <color theme="1"/>
        <rFont val="Oslo Sans"/>
      </rPr>
      <t xml:space="preserve">Beregnes basert på DFØ tall, areal som rives og restlevetid fra riveår til 50 år. Bygg som står over 50 år har ingen "negativ" restlevetid. 
Dette er teoretisk utslipp som er "igjen" av bygget basert på en 50 års beregningsperiode. Eksempel: Et bygg har et beregnet klimautslipp A1-A4 på 100 tonn CO2 e, 50 års beregningsperiode. Rives bygget 20 år etter oppføring "gjenstår" 30 år med utslipp fra bygget. Restutslipp bygg som rives er da beregnet slik: 100 tonn CO2 e / 50 år beregningsperiode * 30 år restlevetid = 60 tonn CO2 ekv. </t>
    </r>
  </si>
  <si>
    <t>Mulighet for detaljerte resultater, alternativ 2</t>
  </si>
  <si>
    <t xml:space="preserve">Alternativ 3: Resultat. Tabell for beregnet klimagassutslipp </t>
  </si>
  <si>
    <t>Mulighet for detaljerte resultater, alternativ 3</t>
  </si>
  <si>
    <t xml:space="preserve">Alternativ 4: Resultat. Tabell for beregnet klimagassutslipp </t>
  </si>
  <si>
    <r>
      <rPr>
        <b/>
        <i/>
        <sz val="10"/>
        <color theme="1"/>
        <rFont val="Oslo Sans"/>
      </rPr>
      <t xml:space="preserve">Beskrivelse: 
</t>
    </r>
    <r>
      <rPr>
        <i/>
        <sz val="10"/>
        <color theme="1"/>
        <rFont val="Oslo Sans"/>
      </rPr>
      <t xml:space="preserve">Beregnes basert på DFØ tall, areal som rives og restlevetid fra riveår til 50 år. Bygg som står over 50 år har ingen "negativ" restlevetid. 
Dette er teoretisk utslipp som er "igjen" av bygget basert på en 50 års beregningsperiode. Eksempel: Et bygg har et beregnet klimautslipp A1-A4 på 100 tonn CO2 e, 50 års beregningsperiode. Rives bygget 20 år etter oppføring "gjenstår" 30 år med utslipp fra bygget. Restutslipp bygg som rives er da beregnet slik: 100 tonn CO2 e / 50 år beregningsperiode * 30 år restlevetid = 60 tonn CO2 ekv. </t>
    </r>
  </si>
  <si>
    <t>Mulighet for detaljerte resultater, alternativ 4</t>
  </si>
  <si>
    <t xml:space="preserve">Alternativ 5: Resultat. Tabell for beregnet klimagassutslipp </t>
  </si>
  <si>
    <t>Mulighet for detaljerte resultater, alternativ 5</t>
  </si>
  <si>
    <t>Utslippsdata</t>
  </si>
  <si>
    <t>ReferansebyggDFØ</t>
  </si>
  <si>
    <t>Referanseverdier</t>
  </si>
  <si>
    <t>Referanseverdier - Industri</t>
  </si>
  <si>
    <t>Referanseverdier for pariskurve 2020</t>
  </si>
  <si>
    <t>Fase</t>
  </si>
  <si>
    <t>Kontorbygg, 3800 bta</t>
  </si>
  <si>
    <t>Boligblokk, 986 BTA</t>
  </si>
  <si>
    <t>Skole, 2534 m2 BTA</t>
  </si>
  <si>
    <t>Forretning, 3768 m2 BTA</t>
  </si>
  <si>
    <t>Sykehjem, 2560 m2 BTA</t>
  </si>
  <si>
    <t>Småhus, 191 m2 BTA</t>
  </si>
  <si>
    <t>Kjeller. 2534 BTA</t>
  </si>
  <si>
    <t>Kjeller, uoppvarmet</t>
  </si>
  <si>
    <t>Industri, 4</t>
  </si>
  <si>
    <t>Industri, 5</t>
  </si>
  <si>
    <t>Industri, 6</t>
  </si>
  <si>
    <t>Industri, 7</t>
  </si>
  <si>
    <t>Industri, 8</t>
  </si>
  <si>
    <t>Industri, 9</t>
  </si>
  <si>
    <t>Industri, 10</t>
  </si>
  <si>
    <t>Industri, 11</t>
  </si>
  <si>
    <t>Industri, 12</t>
  </si>
  <si>
    <t>Industri, 13</t>
  </si>
  <si>
    <t>Industri, 14</t>
  </si>
  <si>
    <t>Industri, 15</t>
  </si>
  <si>
    <t>Industri, 16</t>
  </si>
  <si>
    <t>Industri, 17</t>
  </si>
  <si>
    <t>Industri, 18</t>
  </si>
  <si>
    <t>Industri, 19</t>
  </si>
  <si>
    <t>Industri, 20</t>
  </si>
  <si>
    <t>Høyde</t>
  </si>
  <si>
    <t>A1 - A3</t>
  </si>
  <si>
    <t>kg CO2 ekv/m2 BTA</t>
  </si>
  <si>
    <t>kg CO2 ekv/m2 BYA</t>
  </si>
  <si>
    <t>A4 - fra OneClick - brukes ikke i beregninger</t>
  </si>
  <si>
    <t>A4 - Transport</t>
  </si>
  <si>
    <t>A5 - Montering og svinn</t>
  </si>
  <si>
    <t>A5 - Gjennomsnittlig byggeplass påvirkning</t>
  </si>
  <si>
    <t>B2, B4 - Transport utskifting materialer 50 år</t>
  </si>
  <si>
    <t>Utslippsfaktor energi</t>
  </si>
  <si>
    <t>ha inn graf på utslipp for energi</t>
  </si>
  <si>
    <t>B2, B4 - Utskifitng av materialer (uten transport) 50 år</t>
  </si>
  <si>
    <t>Energiforbruk TEK, pr bygningstype</t>
  </si>
  <si>
    <t>C1 - C4</t>
  </si>
  <si>
    <t>fordeling strøm FV</t>
  </si>
  <si>
    <t>Fase kg CO2 ekv/m2/år</t>
  </si>
  <si>
    <t>Industri, 0</t>
  </si>
  <si>
    <t>Utslippsfaktor transport masser ut</t>
  </si>
  <si>
    <t>hent tall fra vegLCA</t>
  </si>
  <si>
    <t>Utslippsfaktor transport masser inn</t>
  </si>
  <si>
    <t>utslipp fra solceller, pr m2</t>
  </si>
  <si>
    <t>Farge 1</t>
  </si>
  <si>
    <t>Farge 2</t>
  </si>
  <si>
    <t>Farge 3</t>
  </si>
  <si>
    <t>Grunn og fundamenter</t>
  </si>
  <si>
    <t>Farge 4</t>
  </si>
  <si>
    <t>Materiale</t>
  </si>
  <si>
    <t>Stålkjernepel</t>
  </si>
  <si>
    <t>kg CO2 ekv/BTA/dybde til fjell</t>
  </si>
  <si>
    <t>Betong, gysemasse</t>
  </si>
  <si>
    <t>Betong, bunnplate</t>
  </si>
  <si>
    <t>kg CO2 ekv/BYA</t>
  </si>
  <si>
    <t>kg CO2 ekv./m2 BTA</t>
  </si>
  <si>
    <t xml:space="preserve">B2, B4 </t>
  </si>
  <si>
    <t>Alt 1</t>
  </si>
  <si>
    <t>Alt 2</t>
  </si>
  <si>
    <t>Alt 3</t>
  </si>
  <si>
    <t>Alt 4</t>
  </si>
  <si>
    <t>Alt 5</t>
  </si>
  <si>
    <t>Industri 1</t>
  </si>
  <si>
    <t>Industri 2</t>
  </si>
  <si>
    <t>Industri 3</t>
  </si>
  <si>
    <t>Strøm og fjernvarme</t>
  </si>
  <si>
    <t>Industri 4</t>
  </si>
  <si>
    <t>GWh/år</t>
  </si>
  <si>
    <t>Andel</t>
  </si>
  <si>
    <t>Virkningsgrad</t>
  </si>
  <si>
    <t>Varmepumpe</t>
  </si>
  <si>
    <t>fjernkontrollen.no, Oslo</t>
  </si>
  <si>
    <t>kg CO2 e/kWh</t>
  </si>
  <si>
    <t>Elkjel</t>
  </si>
  <si>
    <t>Energi fra avfallsforbrenning</t>
  </si>
  <si>
    <t>Varme levert til kunde</t>
  </si>
  <si>
    <t>Levert strøm til FV</t>
  </si>
  <si>
    <t>Andel strøm, pr kWh levert energi FV til kunde</t>
  </si>
  <si>
    <t>kWh strøm/kWh FV</t>
  </si>
  <si>
    <t>Andel energi fra avfallsforbrenning, pr kWh levert energi FV til kunde</t>
  </si>
  <si>
    <t>kWh avfallsforbrenning/kWh FV</t>
  </si>
  <si>
    <t>EPD Oslo Celsio, produsert varme per år fra ulike energibærere</t>
  </si>
  <si>
    <t>Referanseverdier for pariskurve</t>
  </si>
  <si>
    <t>Utslippsfaktor strøm EU+NO snitt 50 år</t>
  </si>
  <si>
    <t>EU+NO, snitt 2025-2074 (50 år)</t>
  </si>
  <si>
    <t>Utslippsfaktor strøm NO snitt 50 år</t>
  </si>
  <si>
    <t>NO, snitt 2025-2074 (50 år)</t>
  </si>
  <si>
    <t>Utslippsfaktor strøm NO, 2025</t>
  </si>
  <si>
    <t>FV med EU + NO strømmiks</t>
  </si>
  <si>
    <t>kg CO2 e/kWh levert kunde</t>
  </si>
  <si>
    <t>FV med EU + NO strømmiks + avfall iht FB</t>
  </si>
  <si>
    <t>FV med NO strømmiks</t>
  </si>
  <si>
    <t>FV med NO strømmiks + avfall iht FB</t>
  </si>
  <si>
    <t>bio</t>
  </si>
  <si>
    <t>elkjel</t>
  </si>
  <si>
    <t>VP</t>
  </si>
  <si>
    <t>Utslipp forbrenning avfall</t>
  </si>
  <si>
    <t>Snitt gjennom levetiden til bygget, (fra ferdigstillelse pluss 50 år), inklusive teknologi og tidsvekting</t>
  </si>
  <si>
    <t>Kilde</t>
  </si>
  <si>
    <t>kg CO2e/kWh</t>
  </si>
  <si>
    <t>FutureBuilt ZERO</t>
  </si>
  <si>
    <t>EPD Oslo Celsio GWP fossil</t>
  </si>
  <si>
    <t>kg CO2 e/kWh strøm</t>
  </si>
  <si>
    <t>Utsppsfaktor strøm i EPD</t>
  </si>
  <si>
    <t>kg CO2e/kWh strøm</t>
  </si>
  <si>
    <t>Beregnet utslipp fra strøm i EPD</t>
  </si>
  <si>
    <t>kg CO2 e/kWh FV</t>
  </si>
  <si>
    <t>FV uten strøm</t>
  </si>
  <si>
    <t>kg CO2 e/kWh FV uten strøm</t>
  </si>
  <si>
    <t>Beregnet utslipp fra strøm med EU+NO strøm</t>
  </si>
  <si>
    <t>Beregnet utslipp fra strøm med NO strøm</t>
  </si>
  <si>
    <t>Solceller, inkludert inverter, kabel, festesystem</t>
  </si>
  <si>
    <t>Avfall FB</t>
  </si>
  <si>
    <t>Snitt 2025-2074</t>
  </si>
  <si>
    <t>kg CO2 e/kWh fra avfall</t>
  </si>
  <si>
    <t>A5 beregnet basert på svinn</t>
  </si>
  <si>
    <t>B1-B5 beregnet basert på antall utskifting</t>
  </si>
  <si>
    <t>kg CO2 e/m2 panel</t>
  </si>
  <si>
    <t>PV panel: EPD: S-P-09079</t>
  </si>
  <si>
    <t>Energimerke</t>
  </si>
  <si>
    <t>Bygningskategorier</t>
  </si>
  <si>
    <r>
      <t>Levert energi pr m</t>
    </r>
    <r>
      <rPr>
        <b/>
        <vertAlign val="superscript"/>
        <sz val="10"/>
        <rFont val="Oslo Sans"/>
      </rPr>
      <t>2</t>
    </r>
    <r>
      <rPr>
        <b/>
        <sz val="10"/>
        <rFont val="Oslo Sans"/>
      </rPr>
      <t xml:space="preserve"> oppvarmet BRA (kWh/m</t>
    </r>
    <r>
      <rPr>
        <b/>
        <vertAlign val="superscript"/>
        <sz val="10"/>
        <rFont val="Oslo Sans"/>
      </rPr>
      <t>2</t>
    </r>
    <r>
      <rPr>
        <b/>
        <sz val="10"/>
        <rFont val="Oslo Sans"/>
      </rPr>
      <t>)</t>
    </r>
  </si>
  <si>
    <t>G</t>
  </si>
  <si>
    <t>Lavere enn
eller lik</t>
  </si>
  <si>
    <t>Ingen grense</t>
  </si>
  <si>
    <t>&gt;F</t>
  </si>
  <si>
    <t>Arealkorreksjon</t>
  </si>
  <si>
    <t>+800/A</t>
  </si>
  <si>
    <t>+1600/A</t>
  </si>
  <si>
    <t>+2500/A</t>
  </si>
  <si>
    <t>+4100/A</t>
  </si>
  <si>
    <t>+5800/A</t>
  </si>
  <si>
    <t>+8000/A</t>
  </si>
  <si>
    <t>Leiligheter (boligblokk)</t>
  </si>
  <si>
    <t xml:space="preserve">   Arealkorreksjon</t>
  </si>
  <si>
    <t>+600/A</t>
  </si>
  <si>
    <t>+1000/A</t>
  </si>
  <si>
    <t>+1500/A</t>
  </si>
  <si>
    <t>+2200/A</t>
  </si>
  <si>
    <t>+3000/A</t>
  </si>
  <si>
    <t>+4000/A</t>
  </si>
  <si>
    <t>&gt; F</t>
  </si>
  <si>
    <t>Kontorbygning</t>
  </si>
  <si>
    <t>Skolebygning</t>
  </si>
  <si>
    <t>Forretningsbygning</t>
  </si>
  <si>
    <t>Lett industribygning, verksted</t>
  </si>
  <si>
    <t xml:space="preserve"> TERRENG OG FLATER</t>
  </si>
  <si>
    <t>Grønt terreng, nytt  felt- og busksjikt</t>
  </si>
  <si>
    <t>Opptak over levetid (B) (kg CO2-ekv)</t>
  </si>
  <si>
    <t>Areal med busksjikt, liten, under en meter høyde. Dette er opptak i biomasse. Opptak i mineraljord må legges til.</t>
  </si>
  <si>
    <t>kg CO2 e/m2</t>
  </si>
  <si>
    <t>FutureBuilt Zero Landskap, moderat veksthatighet, opptak første 15 år</t>
  </si>
  <si>
    <t>Areal med busksjikt, medium, mellom en og to meter høyde. Dette er opptak i biomasse. Opptak i mineraljord må legges til.</t>
  </si>
  <si>
    <t>Grønne overflater (gressarmert dekke)</t>
  </si>
  <si>
    <t>Omfatter kun opptak i mineraljord</t>
  </si>
  <si>
    <t>Nytt areal med mineraljord</t>
  </si>
  <si>
    <t xml:space="preserve"> Opptak av biogent karbon i ny mineraljord til likevekt i år 20 (verdi er totalt opptak over 20 år)</t>
  </si>
  <si>
    <t>Nye trær</t>
  </si>
  <si>
    <t>kg CO2 e/stk</t>
  </si>
  <si>
    <t>FutureBuilt Zero Landskap, moderat veksthatighet, opptak over 60 år</t>
  </si>
  <si>
    <t>Faktorer for totalt klimagassutslipp ved arealbeslag over 75 år, inkludert tapt mulighet for opptak i levende biomasse.</t>
  </si>
  <si>
    <t>Metoder for å beregne klimagassutslipp fra arealbeslag. Statens vegvesen; Nye Veier AS; Bane NOR SF; Jernbanedirektoratet; Kystverket; Avinor AS; Miljødirektoratet, 2022</t>
  </si>
  <si>
    <t>Skog – Høy bonitet </t>
  </si>
  <si>
    <t>Materialer (produksjon, transport, utskifting), A1-A3, A4, B4-B5</t>
  </si>
  <si>
    <t>Antatt ferdigstillelse (år)</t>
  </si>
  <si>
    <t>Referanse kg Co2 ekv/BTA</t>
  </si>
  <si>
    <t>Pariskurve 2020, A1-A3, A4, B1-B4</t>
  </si>
  <si>
    <t>Referansebane</t>
  </si>
  <si>
    <t>Lagt til Referansebane for materialer i resultatfane. Mindre feilrettinger</t>
  </si>
  <si>
    <t>alt_1</t>
  </si>
  <si>
    <t>alt_2</t>
  </si>
  <si>
    <t>alt_3</t>
  </si>
  <si>
    <t>alt_4</t>
  </si>
  <si>
    <t>alt_5</t>
  </si>
  <si>
    <t>Resultat, tonn CO2 ekv, 50 år</t>
  </si>
  <si>
    <t>Materialer (produksjon, transport)</t>
  </si>
  <si>
    <t>Materialer (utskifting)</t>
  </si>
  <si>
    <t>Materialer (produksjon, transport, utskifting), A1-A3, A4, B2,B4</t>
  </si>
  <si>
    <t>Figuren viser klimagassutslipp akkumulert over 50 år for alternativene. Som figuren viser, vil ikke alle utslipp skjer samtidig ved utbygging. Klimagassutslipp fra utskifting av materialer, energi og transport skjer hvert år frem i tid.</t>
  </si>
  <si>
    <t>b_1</t>
  </si>
  <si>
    <t>b_2</t>
  </si>
  <si>
    <t>b_3</t>
  </si>
  <si>
    <t>b_4</t>
  </si>
  <si>
    <t>b_5</t>
  </si>
  <si>
    <t>Bygging: A1-A3, A4, A5</t>
  </si>
  <si>
    <t>Avhending, C1-C4</t>
  </si>
  <si>
    <t>Antall år etter utbygging, B2, B4, B6</t>
  </si>
  <si>
    <t>B2, B4, Drift og vedlikehold, 50 år</t>
  </si>
  <si>
    <r>
      <t xml:space="preserve">FV med EU + NO strømmiks  </t>
    </r>
    <r>
      <rPr>
        <b/>
        <sz val="11"/>
        <color theme="1"/>
        <rFont val="Oslo Sans"/>
      </rPr>
      <t>(denne benyttes som standard)</t>
    </r>
  </si>
  <si>
    <r>
      <t xml:space="preserve">Figur: Indikasjon på klimagassreduksjon fra </t>
    </r>
    <r>
      <rPr>
        <b/>
        <i/>
        <sz val="11"/>
        <color theme="1"/>
        <rFont val="Oslo Sans"/>
      </rPr>
      <t>materialbruk</t>
    </r>
    <r>
      <rPr>
        <i/>
        <sz val="11"/>
        <color theme="1"/>
        <rFont val="Oslo Sans"/>
      </rPr>
      <t xml:space="preserve"> (A1-A3, A4, B2 og B4) i forhold til Paris-avtalen basert på antatt ferdigstillelsesår. Alternativet med størst utbygging i areal brukes, med referanseverdier for 2020. 50 % reduksjon i 2030 og 90% reduksjon i 2050. Referansebanen er et klimamål basert på Paris-avtalen, med 50 % reduksjon innen 2030 og 90 % reduksjon innen 2050, sammenlignet med 2020. 
</t>
    </r>
    <r>
      <rPr>
        <b/>
        <i/>
        <sz val="11"/>
        <color theme="1"/>
        <rFont val="Oslo Sans"/>
      </rPr>
      <t>OBS</t>
    </r>
    <r>
      <rPr>
        <i/>
        <sz val="11"/>
        <color theme="1"/>
        <rFont val="Oslo Sans"/>
      </rPr>
      <t>: figuren inkluderer ikke energibruk i drift, B6, noe som kan påvirke endelig resultat. 
Denne figuren inkluderer kun grønne søyler i resultatfigurer vist over.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</si>
</sst>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_-* #,##0.00_-;\-* #,##0.00_-;_-* &quot;-&quot;??_-;_-@_-"/>
    <numFmt numFmtId="165" formatCode="0.000"/>
    <numFmt numFmtId="166" formatCode="0.0"/>
    <numFmt numFmtId="167" formatCode="#,##0.0"/>
    <numFmt numFmtId="168" formatCode="0.0000"/>
  </numFmts>
  <fonts count="41">
    <font>
      <sz val="11"/>
      <color theme="1"/>
      <name val="Calibri"/>
      <family val="2"/>
      <scheme val="minor"/>
    </font>
    <font>
      <sz val="8"/>
      <name val="Calibri"/>
      <family val="2"/>
      <scheme val="minor"/>
    </font>
    <font>
      <sz val="9"/>
      <color indexed="81"/>
      <name val="Tahoma"/>
      <family val="2"/>
    </font>
    <font>
      <b/>
      <sz val="9"/>
      <color indexed="81"/>
      <name val="Tahoma"/>
      <family val="2"/>
    </font>
    <font>
      <sz val="11"/>
      <color theme="1"/>
      <name val="Calibri"/>
      <family val="2"/>
      <scheme val="minor"/>
    </font>
    <font>
      <sz val="10"/>
      <name val="Arial"/>
      <family val="2"/>
    </font>
    <font>
      <sz val="11"/>
      <color indexed="62"/>
      <name val="Calibri"/>
      <family val="2"/>
    </font>
    <font>
      <sz val="22"/>
      <color theme="1"/>
      <name val="Oslo Sans"/>
    </font>
    <font>
      <sz val="11"/>
      <color theme="1"/>
      <name val="Oslo Sans"/>
    </font>
    <font>
      <b/>
      <sz val="11"/>
      <color theme="1"/>
      <name val="Oslo Sans"/>
    </font>
    <font>
      <i/>
      <sz val="11"/>
      <color theme="1"/>
      <name val="Oslo Sans"/>
    </font>
    <font>
      <sz val="11"/>
      <color rgb="FFFF0000"/>
      <name val="Oslo Sans"/>
    </font>
    <font>
      <sz val="14"/>
      <color theme="1"/>
      <name val="Oslo Sans"/>
    </font>
    <font>
      <sz val="11"/>
      <color theme="4"/>
      <name val="Oslo Sans"/>
    </font>
    <font>
      <sz val="18"/>
      <color theme="1"/>
      <name val="Oslo Sans"/>
    </font>
    <font>
      <sz val="10"/>
      <color theme="1"/>
      <name val="Oslo Sans"/>
    </font>
    <font>
      <sz val="10"/>
      <color rgb="FFFF0000"/>
      <name val="Oslo Sans"/>
    </font>
    <font>
      <b/>
      <sz val="10"/>
      <color theme="1"/>
      <name val="Oslo Sans"/>
    </font>
    <font>
      <sz val="10"/>
      <color theme="0"/>
      <name val="Oslo Sans"/>
    </font>
    <font>
      <i/>
      <sz val="10"/>
      <color theme="1"/>
      <name val="Oslo Sans"/>
    </font>
    <font>
      <sz val="20"/>
      <color theme="1"/>
      <name val="Oslo Sans"/>
    </font>
    <font>
      <sz val="9"/>
      <color rgb="FF1D3C34"/>
      <name val="Oslo Sans"/>
    </font>
    <font>
      <sz val="10"/>
      <name val="Oslo Sans"/>
    </font>
    <font>
      <b/>
      <i/>
      <sz val="10"/>
      <color theme="1"/>
      <name val="Oslo Sans"/>
    </font>
    <font>
      <i/>
      <sz val="11"/>
      <color rgb="FFFF0000"/>
      <name val="Oslo Sans"/>
    </font>
    <font>
      <sz val="11"/>
      <color theme="8"/>
      <name val="Oslo Sans"/>
    </font>
    <font>
      <sz val="11"/>
      <color theme="0"/>
      <name val="Oslo Sans"/>
    </font>
    <font>
      <b/>
      <sz val="12"/>
      <name val="Oslo Sans"/>
    </font>
    <font>
      <b/>
      <sz val="10"/>
      <name val="Oslo Sans"/>
    </font>
    <font>
      <b/>
      <vertAlign val="superscript"/>
      <sz val="10"/>
      <name val="Oslo Sans"/>
    </font>
    <font>
      <sz val="8"/>
      <name val="Oslo Sans"/>
    </font>
    <font>
      <b/>
      <sz val="11"/>
      <name val="Oslo Sans"/>
    </font>
    <font>
      <sz val="9"/>
      <name val="Oslo Sans"/>
    </font>
    <font>
      <sz val="10"/>
      <color rgb="FF002060"/>
      <name val="Oslo Sans"/>
    </font>
    <font>
      <sz val="11"/>
      <color rgb="FF000000"/>
      <name val="Oslo Sans"/>
    </font>
    <font>
      <sz val="11"/>
      <color rgb="FF313637"/>
      <name val="Oslo Sans"/>
    </font>
    <font>
      <sz val="11"/>
      <color rgb="FF9C0006"/>
      <name val="Calibri"/>
      <family val="2"/>
      <scheme val="minor"/>
    </font>
    <font>
      <b/>
      <sz val="11"/>
      <color rgb="FFFF0000"/>
      <name val="Oslo Sans"/>
    </font>
    <font>
      <sz val="9"/>
      <color theme="1"/>
      <name val="Oslo Sans"/>
    </font>
    <font>
      <sz val="14"/>
      <color rgb="FF595959"/>
      <name val="Oslo Sans"/>
    </font>
    <font>
      <b/>
      <i/>
      <sz val="11"/>
      <color theme="1"/>
      <name val="Oslo Sans"/>
    </font>
  </fonts>
  <fills count="28">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FFFFCC"/>
      </patternFill>
    </fill>
    <fill>
      <patternFill patternType="solid">
        <fgColor rgb="FFFFC000"/>
        <bgColor indexed="64"/>
      </patternFill>
    </fill>
    <fill>
      <patternFill patternType="solid">
        <fgColor theme="9"/>
        <bgColor indexed="64"/>
      </patternFill>
    </fill>
    <fill>
      <patternFill patternType="solid">
        <fgColor indexed="9"/>
        <bgColor indexed="64"/>
      </patternFill>
    </fill>
    <fill>
      <patternFill patternType="solid">
        <fgColor indexed="47"/>
      </patternFill>
    </fill>
    <fill>
      <patternFill patternType="solid">
        <fgColor theme="7" tint="0.59999389629810485"/>
        <bgColor indexed="64"/>
      </patternFill>
    </fill>
    <fill>
      <patternFill patternType="solid">
        <fgColor rgb="FFFDE9C4"/>
        <bgColor indexed="64"/>
      </patternFill>
    </fill>
    <fill>
      <patternFill patternType="solid">
        <fgColor rgb="FFD9D9D9"/>
        <bgColor indexed="64"/>
      </patternFill>
    </fill>
    <fill>
      <patternFill patternType="solid">
        <fgColor rgb="FFA8F2FF"/>
        <bgColor indexed="64"/>
      </patternFill>
    </fill>
    <fill>
      <patternFill patternType="solid">
        <fgColor rgb="FF65E76B"/>
        <bgColor indexed="64"/>
      </patternFill>
    </fill>
    <fill>
      <patternFill patternType="solid">
        <fgColor rgb="FFFFE7E3"/>
        <bgColor indexed="64"/>
      </patternFill>
    </fill>
    <fill>
      <patternFill patternType="solid">
        <fgColor rgb="FFE1FBFF"/>
        <bgColor indexed="64"/>
      </patternFill>
    </fill>
    <fill>
      <patternFill patternType="solid">
        <fgColor rgb="FFC7F6D1"/>
        <bgColor indexed="64"/>
      </patternFill>
    </fill>
    <fill>
      <patternFill patternType="solid">
        <fgColor rgb="FFC7F6C9"/>
        <bgColor indexed="64"/>
      </patternFill>
    </fill>
    <fill>
      <patternFill patternType="solid">
        <fgColor theme="0"/>
        <bgColor indexed="64"/>
      </patternFill>
    </fill>
    <fill>
      <patternFill patternType="solid">
        <fgColor rgb="FFFFC7CE"/>
      </patternFill>
    </fill>
    <fill>
      <patternFill patternType="solid">
        <fgColor theme="8" tint="0.79998168889431442"/>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ck">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ck">
        <color theme="1" tint="0.499984740745262"/>
      </bottom>
      <diagonal/>
    </border>
    <border>
      <left style="thin">
        <color theme="1" tint="0.499984740745262"/>
      </left>
      <right style="thick">
        <color theme="1" tint="0.499984740745262"/>
      </right>
      <top style="thin">
        <color theme="1" tint="0.499984740745262"/>
      </top>
      <bottom style="thick">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ck">
        <color theme="1" tint="0.499984740745262"/>
      </bottom>
      <diagonal/>
    </border>
    <border>
      <left style="thick">
        <color theme="1" tint="0.499984740745262"/>
      </left>
      <right style="medium">
        <color theme="1" tint="0.499984740745262"/>
      </right>
      <top style="thick">
        <color theme="1" tint="0.499984740745262"/>
      </top>
      <bottom/>
      <diagonal/>
    </border>
    <border>
      <left style="thick">
        <color theme="1" tint="0.499984740745262"/>
      </left>
      <right style="medium">
        <color theme="1" tint="0.499984740745262"/>
      </right>
      <top/>
      <bottom/>
      <diagonal/>
    </border>
    <border>
      <left style="thick">
        <color theme="1" tint="0.499984740745262"/>
      </left>
      <right style="medium">
        <color theme="1" tint="0.499984740745262"/>
      </right>
      <top/>
      <bottom style="thin">
        <color theme="1" tint="0.499984740745262"/>
      </bottom>
      <diagonal/>
    </border>
    <border>
      <left style="thick">
        <color theme="1" tint="0.499984740745262"/>
      </left>
      <right style="medium">
        <color theme="1" tint="0.499984740745262"/>
      </right>
      <top style="thin">
        <color theme="1" tint="0.499984740745262"/>
      </top>
      <bottom style="thin">
        <color theme="1" tint="0.499984740745262"/>
      </bottom>
      <diagonal/>
    </border>
    <border>
      <left style="thick">
        <color theme="1" tint="0.499984740745262"/>
      </left>
      <right style="medium">
        <color theme="1" tint="0.499984740745262"/>
      </right>
      <top style="thin">
        <color theme="1" tint="0.499984740745262"/>
      </top>
      <bottom style="thick">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ck">
        <color theme="1" tint="0.499984740745262"/>
      </right>
      <top/>
      <bottom style="thin">
        <color theme="1" tint="0.499984740745262"/>
      </bottom>
      <diagonal/>
    </border>
    <border>
      <left style="thick">
        <color theme="1" tint="0.499984740745262"/>
      </left>
      <right style="medium">
        <color theme="1" tint="0.499984740745262"/>
      </right>
      <top/>
      <bottom style="medium">
        <color theme="1" tint="0.499984740745262"/>
      </bottom>
      <diagonal/>
    </border>
    <border>
      <left style="medium">
        <color theme="1" tint="0.499984740745262"/>
      </left>
      <right/>
      <top style="thick">
        <color theme="1" tint="0.499984740745262"/>
      </top>
      <bottom style="thin">
        <color theme="1" tint="0.499984740745262"/>
      </bottom>
      <diagonal/>
    </border>
    <border>
      <left/>
      <right/>
      <top style="thick">
        <color theme="1" tint="0.499984740745262"/>
      </top>
      <bottom style="thin">
        <color theme="1" tint="0.499984740745262"/>
      </bottom>
      <diagonal/>
    </border>
    <border>
      <left/>
      <right style="thick">
        <color theme="1" tint="0.499984740745262"/>
      </right>
      <top style="thick">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ck">
        <color theme="1" tint="0.499984740745262"/>
      </right>
      <top style="thin">
        <color theme="1" tint="0.499984740745262"/>
      </top>
      <bottom style="medium">
        <color theme="1" tint="0.499984740745262"/>
      </bottom>
      <diagonal/>
    </border>
    <border>
      <left/>
      <right style="thin">
        <color theme="1" tint="0.499984740745262"/>
      </right>
      <top style="medium">
        <color theme="1" tint="0.499984740745262"/>
      </top>
      <bottom style="hair">
        <color theme="1" tint="0.499984740745262"/>
      </bottom>
      <diagonal/>
    </border>
    <border>
      <left style="thin">
        <color theme="1" tint="0.499984740745262"/>
      </left>
      <right style="thin">
        <color theme="1" tint="0.499984740745262"/>
      </right>
      <top style="medium">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style="thin">
        <color theme="1" tint="0.499984740745262"/>
      </right>
      <top style="thin">
        <color theme="1" tint="0.499984740745262"/>
      </top>
      <bottom style="hair">
        <color theme="1" tint="0.499984740745262"/>
      </bottom>
      <diagonal/>
    </border>
    <border>
      <left style="thick">
        <color theme="1" tint="0.499984740745262"/>
      </left>
      <right style="medium">
        <color theme="1" tint="0.499984740745262"/>
      </right>
      <top style="medium">
        <color theme="1" tint="0.499984740745262"/>
      </top>
      <bottom/>
      <diagonal/>
    </border>
    <border>
      <left style="thin">
        <color theme="1" tint="0.499984740745262"/>
      </left>
      <right style="thick">
        <color theme="1" tint="0.499984740745262"/>
      </right>
      <top style="medium">
        <color theme="1" tint="0.499984740745262"/>
      </top>
      <bottom/>
      <diagonal/>
    </border>
    <border>
      <left style="thin">
        <color theme="1" tint="0.499984740745262"/>
      </left>
      <right style="thick">
        <color theme="1" tint="0.499984740745262"/>
      </right>
      <top style="thin">
        <color theme="1" tint="0.499984740745262"/>
      </top>
      <bottom/>
      <diagonal/>
    </border>
    <border>
      <left style="medium">
        <color indexed="64"/>
      </left>
      <right style="thin">
        <color indexed="64"/>
      </right>
      <top/>
      <bottom style="medium">
        <color indexed="64"/>
      </bottom>
      <diagonal/>
    </border>
  </borders>
  <cellStyleXfs count="8">
    <xf numFmtId="0" fontId="0" fillId="0" borderId="0"/>
    <xf numFmtId="0" fontId="5" fillId="0" borderId="0"/>
    <xf numFmtId="43" fontId="4" fillId="0" borderId="0" applyFont="0" applyFill="0" applyBorder="0" applyAlignment="0" applyProtection="0"/>
    <xf numFmtId="0" fontId="6" fillId="15" borderId="45" applyNumberFormat="0" applyAlignment="0" applyProtection="0"/>
    <xf numFmtId="0" fontId="5" fillId="11" borderId="31" applyNumberFormat="0" applyFont="0" applyAlignment="0" applyProtection="0"/>
    <xf numFmtId="9" fontId="5" fillId="0" borderId="0" applyFont="0" applyFill="0" applyBorder="0" applyAlignment="0" applyProtection="0"/>
    <xf numFmtId="164" fontId="5" fillId="0" borderId="0" applyFont="0" applyFill="0" applyBorder="0" applyAlignment="0" applyProtection="0"/>
    <xf numFmtId="0" fontId="36" fillId="26" borderId="0" applyNumberFormat="0" applyBorder="0" applyAlignment="0" applyProtection="0"/>
  </cellStyleXfs>
  <cellXfs count="445">
    <xf numFmtId="0" fontId="0" fillId="0" borderId="0" xfId="0"/>
    <xf numFmtId="0" fontId="7" fillId="0" borderId="0" xfId="0" applyFont="1"/>
    <xf numFmtId="0" fontId="8" fillId="0" borderId="0" xfId="0" applyFont="1"/>
    <xf numFmtId="0" fontId="8" fillId="0" borderId="0" xfId="0" applyFont="1" applyAlignment="1">
      <alignment horizontal="left"/>
    </xf>
    <xf numFmtId="14" fontId="8" fillId="0" borderId="0" xfId="0" applyNumberFormat="1" applyFont="1" applyAlignment="1">
      <alignment horizontal="left"/>
    </xf>
    <xf numFmtId="0" fontId="9" fillId="0" borderId="0" xfId="0" applyFont="1"/>
    <xf numFmtId="0" fontId="11" fillId="0" borderId="0" xfId="0" applyFont="1"/>
    <xf numFmtId="0" fontId="12" fillId="0" borderId="0" xfId="0" applyFont="1"/>
    <xf numFmtId="0" fontId="8" fillId="6" borderId="1" xfId="0" applyFont="1" applyFill="1" applyBorder="1"/>
    <xf numFmtId="0" fontId="8" fillId="0" borderId="1" xfId="0" applyFont="1" applyBorder="1"/>
    <xf numFmtId="14" fontId="8" fillId="0" borderId="1" xfId="0" applyNumberFormat="1" applyFont="1" applyBorder="1"/>
    <xf numFmtId="0" fontId="8" fillId="17" borderId="1" xfId="0" applyFont="1" applyFill="1" applyBorder="1"/>
    <xf numFmtId="0" fontId="13" fillId="0" borderId="0" xfId="0" applyFont="1"/>
    <xf numFmtId="0" fontId="8" fillId="0" borderId="1" xfId="0" applyFont="1" applyBorder="1" applyAlignment="1">
      <alignment vertical="top"/>
    </xf>
    <xf numFmtId="3" fontId="8" fillId="0" borderId="1" xfId="0" applyNumberFormat="1" applyFont="1" applyBorder="1"/>
    <xf numFmtId="0" fontId="8" fillId="0" borderId="1" xfId="0" applyFont="1" applyBorder="1" applyAlignment="1">
      <alignment wrapText="1"/>
    </xf>
    <xf numFmtId="0" fontId="8" fillId="0" borderId="0" xfId="0" applyFont="1" applyAlignment="1">
      <alignment horizontal="center" vertical="center"/>
    </xf>
    <xf numFmtId="0" fontId="8" fillId="0" borderId="0" xfId="0" applyFont="1" applyAlignment="1">
      <alignment horizontal="center"/>
    </xf>
    <xf numFmtId="0" fontId="10" fillId="0" borderId="0" xfId="0" applyFont="1"/>
    <xf numFmtId="0" fontId="15" fillId="0" borderId="0" xfId="0" applyFont="1"/>
    <xf numFmtId="0" fontId="15" fillId="0" borderId="1" xfId="0" applyFont="1" applyBorder="1"/>
    <xf numFmtId="9" fontId="15" fillId="0" borderId="1" xfId="0" applyNumberFormat="1" applyFont="1" applyBorder="1" applyProtection="1">
      <protection hidden="1"/>
    </xf>
    <xf numFmtId="0" fontId="20" fillId="0" borderId="0" xfId="0" applyFont="1" applyProtection="1">
      <protection hidden="1"/>
    </xf>
    <xf numFmtId="0" fontId="8" fillId="0" borderId="0" xfId="0" applyFont="1" applyProtection="1">
      <protection hidden="1"/>
    </xf>
    <xf numFmtId="0" fontId="9" fillId="0" borderId="1" xfId="0" applyFont="1" applyBorder="1"/>
    <xf numFmtId="0" fontId="13" fillId="0" borderId="0" xfId="0" applyFont="1" applyProtection="1">
      <protection hidden="1"/>
    </xf>
    <xf numFmtId="0" fontId="15" fillId="0" borderId="1" xfId="0" applyFont="1" applyBorder="1" applyProtection="1">
      <protection hidden="1"/>
    </xf>
    <xf numFmtId="0" fontId="15" fillId="0" borderId="0" xfId="0" applyFont="1" applyProtection="1">
      <protection hidden="1"/>
    </xf>
    <xf numFmtId="0" fontId="15" fillId="0" borderId="1" xfId="0" applyFont="1" applyBorder="1" applyAlignment="1" applyProtection="1">
      <alignment vertical="top"/>
      <protection hidden="1"/>
    </xf>
    <xf numFmtId="0" fontId="19" fillId="0" borderId="0" xfId="0" applyFont="1" applyProtection="1">
      <protection hidden="1"/>
    </xf>
    <xf numFmtId="0" fontId="15" fillId="17" borderId="1" xfId="0" applyFont="1" applyFill="1" applyBorder="1" applyAlignment="1" applyProtection="1">
      <alignment vertical="top"/>
      <protection hidden="1"/>
    </xf>
    <xf numFmtId="3" fontId="15" fillId="0" borderId="1" xfId="0" applyNumberFormat="1" applyFont="1" applyBorder="1" applyProtection="1">
      <protection hidden="1"/>
    </xf>
    <xf numFmtId="0" fontId="15" fillId="0" borderId="1" xfId="0" applyFont="1" applyBorder="1" applyAlignment="1" applyProtection="1">
      <alignment wrapText="1"/>
      <protection hidden="1"/>
    </xf>
    <xf numFmtId="0" fontId="15" fillId="22" borderId="1" xfId="0" applyFont="1" applyFill="1" applyBorder="1" applyProtection="1">
      <protection hidden="1"/>
    </xf>
    <xf numFmtId="0" fontId="17" fillId="18" borderId="1" xfId="0" applyFont="1" applyFill="1" applyBorder="1" applyProtection="1">
      <protection hidden="1"/>
    </xf>
    <xf numFmtId="0" fontId="24" fillId="0" borderId="0" xfId="0" applyFont="1"/>
    <xf numFmtId="0" fontId="25" fillId="0" borderId="0" xfId="0" applyFont="1"/>
    <xf numFmtId="0" fontId="8" fillId="0" borderId="7" xfId="0" applyFont="1" applyBorder="1"/>
    <xf numFmtId="0" fontId="9" fillId="6" borderId="1" xfId="0" applyFont="1" applyFill="1" applyBorder="1"/>
    <xf numFmtId="0" fontId="8" fillId="17" borderId="6" xfId="0" applyFont="1" applyFill="1" applyBorder="1"/>
    <xf numFmtId="0" fontId="8" fillId="17" borderId="23" xfId="0" applyFont="1" applyFill="1" applyBorder="1"/>
    <xf numFmtId="0" fontId="8" fillId="17" borderId="7" xfId="0" applyFont="1" applyFill="1" applyBorder="1"/>
    <xf numFmtId="0" fontId="8" fillId="9" borderId="1" xfId="0" applyFont="1" applyFill="1" applyBorder="1"/>
    <xf numFmtId="0" fontId="8" fillId="0" borderId="15" xfId="0" applyFont="1" applyBorder="1"/>
    <xf numFmtId="0" fontId="8" fillId="0" borderId="16" xfId="0" applyFont="1" applyBorder="1"/>
    <xf numFmtId="0" fontId="8" fillId="0" borderId="17" xfId="0" applyFont="1" applyBorder="1"/>
    <xf numFmtId="0" fontId="8" fillId="0" borderId="18" xfId="0" applyFont="1" applyBorder="1"/>
    <xf numFmtId="0" fontId="8" fillId="0" borderId="19" xfId="0" applyFont="1" applyBorder="1"/>
    <xf numFmtId="0" fontId="8" fillId="0" borderId="20" xfId="0" applyFont="1" applyBorder="1"/>
    <xf numFmtId="0" fontId="8" fillId="0" borderId="21" xfId="0" applyFont="1" applyBorder="1"/>
    <xf numFmtId="0" fontId="8" fillId="0" borderId="22" xfId="0" applyFont="1" applyBorder="1"/>
    <xf numFmtId="0" fontId="15" fillId="17" borderId="1" xfId="0" applyFont="1" applyFill="1" applyBorder="1"/>
    <xf numFmtId="166" fontId="18" fillId="0" borderId="1" xfId="0" applyNumberFormat="1" applyFont="1" applyBorder="1" applyProtection="1">
      <protection hidden="1"/>
    </xf>
    <xf numFmtId="0" fontId="20" fillId="0" borderId="0" xfId="0" applyFont="1"/>
    <xf numFmtId="0" fontId="8" fillId="0" borderId="0" xfId="0" applyFont="1" applyAlignment="1">
      <alignment horizontal="left" indent="2"/>
    </xf>
    <xf numFmtId="3" fontId="17" fillId="8" borderId="1" xfId="0" applyNumberFormat="1" applyFont="1" applyFill="1" applyBorder="1" applyProtection="1">
      <protection hidden="1"/>
    </xf>
    <xf numFmtId="3" fontId="17" fillId="8" borderId="7" xfId="0" applyNumberFormat="1" applyFont="1" applyFill="1" applyBorder="1" applyProtection="1">
      <protection hidden="1"/>
    </xf>
    <xf numFmtId="0" fontId="17" fillId="17" borderId="1" xfId="0" applyFont="1" applyFill="1" applyBorder="1" applyAlignment="1" applyProtection="1">
      <alignment vertical="top"/>
      <protection hidden="1"/>
    </xf>
    <xf numFmtId="0" fontId="15" fillId="17" borderId="7" xfId="0" applyFont="1" applyFill="1" applyBorder="1" applyAlignment="1" applyProtection="1">
      <alignment vertical="top"/>
      <protection hidden="1"/>
    </xf>
    <xf numFmtId="0" fontId="17" fillId="8" borderId="1" xfId="0" applyFont="1" applyFill="1" applyBorder="1" applyProtection="1">
      <protection hidden="1"/>
    </xf>
    <xf numFmtId="9" fontId="17" fillId="8" borderId="1" xfId="0" applyNumberFormat="1" applyFont="1" applyFill="1" applyBorder="1" applyProtection="1">
      <protection hidden="1"/>
    </xf>
    <xf numFmtId="0" fontId="19" fillId="0" borderId="0" xfId="0" applyFont="1" applyAlignment="1" applyProtection="1">
      <alignment vertical="top" wrapText="1"/>
      <protection hidden="1"/>
    </xf>
    <xf numFmtId="3" fontId="8" fillId="0" borderId="0" xfId="0" applyNumberFormat="1" applyFont="1"/>
    <xf numFmtId="0" fontId="8" fillId="2" borderId="0" xfId="0" applyFont="1" applyFill="1"/>
    <xf numFmtId="9" fontId="18" fillId="0" borderId="1" xfId="0" applyNumberFormat="1" applyFont="1" applyBorder="1" applyAlignment="1" applyProtection="1">
      <alignment vertical="center"/>
      <protection hidden="1"/>
    </xf>
    <xf numFmtId="0" fontId="8" fillId="5" borderId="1" xfId="0" applyFont="1" applyFill="1" applyBorder="1"/>
    <xf numFmtId="1" fontId="8" fillId="0" borderId="1" xfId="0" applyNumberFormat="1" applyFont="1" applyBorder="1"/>
    <xf numFmtId="0" fontId="8" fillId="17" borderId="0" xfId="0" applyFont="1" applyFill="1"/>
    <xf numFmtId="0" fontId="8" fillId="18" borderId="0" xfId="0" applyFont="1" applyFill="1"/>
    <xf numFmtId="0" fontId="8" fillId="19" borderId="0" xfId="0" applyFont="1" applyFill="1"/>
    <xf numFmtId="0" fontId="8" fillId="20" borderId="0" xfId="0" applyFont="1" applyFill="1"/>
    <xf numFmtId="0" fontId="8" fillId="21" borderId="0" xfId="0" applyFont="1" applyFill="1"/>
    <xf numFmtId="0" fontId="8" fillId="22" borderId="0" xfId="0" applyFont="1" applyFill="1"/>
    <xf numFmtId="0" fontId="8" fillId="24" borderId="0" xfId="0" applyFont="1" applyFill="1"/>
    <xf numFmtId="14" fontId="8" fillId="0" borderId="0" xfId="0" applyNumberFormat="1" applyFont="1"/>
    <xf numFmtId="1" fontId="8" fillId="0" borderId="8" xfId="0" applyNumberFormat="1" applyFont="1" applyBorder="1"/>
    <xf numFmtId="1" fontId="8" fillId="2" borderId="8" xfId="0" applyNumberFormat="1" applyFont="1" applyFill="1" applyBorder="1"/>
    <xf numFmtId="1" fontId="8" fillId="2" borderId="1" xfId="0" applyNumberFormat="1" applyFont="1" applyFill="1" applyBorder="1"/>
    <xf numFmtId="10" fontId="8" fillId="0" borderId="1" xfId="0" applyNumberFormat="1" applyFont="1" applyBorder="1"/>
    <xf numFmtId="165" fontId="8" fillId="0" borderId="1" xfId="0" applyNumberFormat="1" applyFont="1" applyBorder="1"/>
    <xf numFmtId="2" fontId="8" fillId="0" borderId="0" xfId="0" applyNumberFormat="1" applyFont="1"/>
    <xf numFmtId="0" fontId="8" fillId="8" borderId="1" xfId="0" applyFont="1" applyFill="1" applyBorder="1"/>
    <xf numFmtId="2" fontId="8" fillId="10" borderId="0" xfId="0" applyNumberFormat="1" applyFont="1" applyFill="1"/>
    <xf numFmtId="0" fontId="22" fillId="0" borderId="71" xfId="1" applyFont="1" applyBorder="1" applyAlignment="1">
      <alignment vertical="center" wrapText="1"/>
    </xf>
    <xf numFmtId="1" fontId="22" fillId="0" borderId="67" xfId="1" applyNumberFormat="1" applyFont="1" applyBorder="1" applyAlignment="1">
      <alignment horizontal="center" vertical="center" wrapText="1"/>
    </xf>
    <xf numFmtId="1" fontId="22" fillId="0" borderId="68" xfId="1" applyNumberFormat="1" applyFont="1" applyBorder="1" applyAlignment="1">
      <alignment horizontal="center" vertical="center" wrapText="1"/>
    </xf>
    <xf numFmtId="0" fontId="33" fillId="0" borderId="54" xfId="1" applyFont="1" applyBorder="1" applyAlignment="1">
      <alignment horizontal="right" vertical="center" wrapText="1"/>
    </xf>
    <xf numFmtId="1" fontId="33" fillId="0" borderId="57" xfId="1" applyNumberFormat="1" applyFont="1" applyBorder="1" applyAlignment="1">
      <alignment horizontal="center" vertical="center" wrapText="1"/>
    </xf>
    <xf numFmtId="1" fontId="33" fillId="0" borderId="58" xfId="1" applyNumberFormat="1" applyFont="1" applyBorder="1" applyAlignment="1">
      <alignment horizontal="center" vertical="center" wrapText="1"/>
    </xf>
    <xf numFmtId="0" fontId="22" fillId="0" borderId="53" xfId="1" applyFont="1" applyBorder="1" applyAlignment="1">
      <alignment vertical="center" wrapText="1"/>
    </xf>
    <xf numFmtId="1" fontId="22" fillId="0" borderId="69" xfId="1" applyNumberFormat="1" applyFont="1" applyBorder="1" applyAlignment="1">
      <alignment horizontal="center" vertical="center" wrapText="1"/>
    </xf>
    <xf numFmtId="1" fontId="22" fillId="0" borderId="70" xfId="1" applyNumberFormat="1" applyFont="1" applyBorder="1" applyAlignment="1">
      <alignment horizontal="center" vertical="center" wrapText="1"/>
    </xf>
    <xf numFmtId="0" fontId="22" fillId="0" borderId="55" xfId="1" applyFont="1" applyBorder="1" applyAlignment="1">
      <alignment vertical="center" wrapText="1"/>
    </xf>
    <xf numFmtId="2" fontId="22" fillId="14" borderId="50" xfId="1" applyNumberFormat="1" applyFont="1" applyFill="1" applyBorder="1" applyAlignment="1">
      <alignment horizontal="center" vertical="center" wrapText="1"/>
    </xf>
    <xf numFmtId="2" fontId="22" fillId="14" borderId="46" xfId="1" applyNumberFormat="1" applyFont="1" applyFill="1" applyBorder="1" applyAlignment="1">
      <alignment horizontal="center" vertical="center" wrapText="1"/>
    </xf>
    <xf numFmtId="1" fontId="22" fillId="14" borderId="47" xfId="1" applyNumberFormat="1" applyFont="1" applyFill="1" applyBorder="1" applyAlignment="1">
      <alignment horizontal="center" vertical="center" wrapText="1"/>
    </xf>
    <xf numFmtId="0" fontId="22" fillId="0" borderId="56" xfId="1" applyFont="1" applyBorder="1" applyAlignment="1">
      <alignment vertical="center" wrapText="1"/>
    </xf>
    <xf numFmtId="2" fontId="22" fillId="14" borderId="51" xfId="1" applyNumberFormat="1" applyFont="1" applyFill="1" applyBorder="1" applyAlignment="1">
      <alignment horizontal="center" vertical="center" wrapText="1"/>
    </xf>
    <xf numFmtId="2" fontId="22" fillId="14" borderId="48" xfId="1" applyNumberFormat="1" applyFont="1" applyFill="1" applyBorder="1" applyAlignment="1">
      <alignment horizontal="center" vertical="center" wrapText="1"/>
    </xf>
    <xf numFmtId="1" fontId="22" fillId="14" borderId="49" xfId="1" applyNumberFormat="1" applyFont="1" applyFill="1" applyBorder="1" applyAlignment="1">
      <alignment horizontal="center" vertical="center" wrapText="1"/>
    </xf>
    <xf numFmtId="2" fontId="8" fillId="0" borderId="1" xfId="0" applyNumberFormat="1" applyFont="1" applyBorder="1"/>
    <xf numFmtId="0" fontId="8" fillId="18" borderId="1" xfId="0" applyFont="1" applyFill="1" applyBorder="1"/>
    <xf numFmtId="1" fontId="8" fillId="17" borderId="1" xfId="0" applyNumberFormat="1" applyFont="1" applyFill="1" applyBorder="1"/>
    <xf numFmtId="0" fontId="8" fillId="23" borderId="1" xfId="0" applyFont="1" applyFill="1" applyBorder="1"/>
    <xf numFmtId="10" fontId="8" fillId="2" borderId="0" xfId="0" applyNumberFormat="1" applyFont="1" applyFill="1"/>
    <xf numFmtId="2" fontId="8" fillId="2" borderId="0" xfId="0" applyNumberFormat="1" applyFont="1" applyFill="1"/>
    <xf numFmtId="0" fontId="26" fillId="0" borderId="0" xfId="0" applyFont="1"/>
    <xf numFmtId="0" fontId="27" fillId="18" borderId="52" xfId="1" applyFont="1" applyFill="1" applyBorder="1" applyAlignment="1">
      <alignment vertical="center" wrapText="1"/>
    </xf>
    <xf numFmtId="0" fontId="28" fillId="18" borderId="62" xfId="1" applyFont="1" applyFill="1" applyBorder="1" applyAlignment="1">
      <alignment vertical="center"/>
    </xf>
    <xf numFmtId="0" fontId="28" fillId="18" borderId="63" xfId="1" applyFont="1" applyFill="1" applyBorder="1" applyAlignment="1">
      <alignment vertical="center"/>
    </xf>
    <xf numFmtId="0" fontId="30" fillId="18" borderId="53" xfId="1" applyFont="1" applyFill="1" applyBorder="1" applyAlignment="1">
      <alignment horizontal="right" vertical="center" wrapText="1"/>
    </xf>
    <xf numFmtId="0" fontId="27" fillId="18" borderId="60" xfId="1" applyFont="1" applyFill="1" applyBorder="1" applyAlignment="1">
      <alignment vertical="center" wrapText="1"/>
    </xf>
    <xf numFmtId="0" fontId="32" fillId="18" borderId="64" xfId="1" applyFont="1" applyFill="1" applyBorder="1" applyAlignment="1">
      <alignment horizontal="center" vertical="center" wrapText="1"/>
    </xf>
    <xf numFmtId="0" fontId="32" fillId="18" borderId="65" xfId="1" applyFont="1" applyFill="1" applyBorder="1" applyAlignment="1">
      <alignment horizontal="center" vertical="center" wrapText="1"/>
    </xf>
    <xf numFmtId="0" fontId="32" fillId="18" borderId="66" xfId="1" applyFont="1" applyFill="1" applyBorder="1" applyAlignment="1">
      <alignment horizontal="center" vertical="center" wrapText="1"/>
    </xf>
    <xf numFmtId="0" fontId="31" fillId="23" borderId="50" xfId="1" applyFont="1" applyFill="1" applyBorder="1" applyAlignment="1">
      <alignment horizontal="center" vertical="center"/>
    </xf>
    <xf numFmtId="0" fontId="31" fillId="23" borderId="46" xfId="1" applyFont="1" applyFill="1" applyBorder="1" applyAlignment="1">
      <alignment horizontal="center" vertical="center"/>
    </xf>
    <xf numFmtId="0" fontId="31" fillId="23" borderId="47" xfId="1" applyFont="1" applyFill="1" applyBorder="1" applyAlignment="1">
      <alignment horizontal="center" vertical="center"/>
    </xf>
    <xf numFmtId="0" fontId="28" fillId="18" borderId="61" xfId="1" applyFont="1" applyFill="1" applyBorder="1" applyAlignment="1">
      <alignment vertical="center"/>
    </xf>
    <xf numFmtId="166" fontId="8" fillId="0" borderId="1" xfId="0" applyNumberFormat="1" applyFont="1" applyBorder="1"/>
    <xf numFmtId="0" fontId="14" fillId="0" borderId="0" xfId="0" applyFont="1"/>
    <xf numFmtId="0" fontId="34" fillId="0" borderId="0" xfId="0" applyFont="1"/>
    <xf numFmtId="0" fontId="35" fillId="0" borderId="0" xfId="0" applyFont="1"/>
    <xf numFmtId="0" fontId="16" fillId="0" borderId="0" xfId="0" applyFont="1" applyProtection="1">
      <protection hidden="1"/>
    </xf>
    <xf numFmtId="0" fontId="14" fillId="0" borderId="0" xfId="0" applyFont="1" applyProtection="1">
      <protection hidden="1"/>
    </xf>
    <xf numFmtId="0" fontId="8" fillId="0" borderId="1" xfId="0" applyFont="1" applyBorder="1" applyAlignment="1">
      <alignment vertical="top" wrapText="1"/>
    </xf>
    <xf numFmtId="0" fontId="8" fillId="18" borderId="1" xfId="0" applyFont="1" applyFill="1" applyBorder="1" applyAlignment="1">
      <alignment vertical="top"/>
    </xf>
    <xf numFmtId="0" fontId="8" fillId="25" borderId="1" xfId="0" applyFont="1" applyFill="1" applyBorder="1"/>
    <xf numFmtId="1" fontId="8" fillId="25" borderId="1" xfId="0" applyNumberFormat="1" applyFont="1" applyFill="1" applyBorder="1"/>
    <xf numFmtId="9" fontId="18" fillId="0" borderId="0" xfId="0" applyNumberFormat="1" applyFont="1" applyAlignment="1" applyProtection="1">
      <alignment vertical="center"/>
      <protection hidden="1"/>
    </xf>
    <xf numFmtId="0" fontId="15" fillId="22" borderId="1" xfId="0" applyFont="1" applyFill="1" applyBorder="1" applyProtection="1">
      <protection locked="0"/>
    </xf>
    <xf numFmtId="168" fontId="8" fillId="0" borderId="1" xfId="0" applyNumberFormat="1" applyFont="1" applyBorder="1"/>
    <xf numFmtId="0" fontId="8" fillId="0" borderId="0" xfId="0" applyFont="1" applyAlignment="1">
      <alignment horizontal="right"/>
    </xf>
    <xf numFmtId="1" fontId="8" fillId="0" borderId="0" xfId="0" applyNumberFormat="1" applyFont="1"/>
    <xf numFmtId="0" fontId="8" fillId="0" borderId="14" xfId="0" applyFont="1" applyBorder="1" applyAlignment="1">
      <alignment horizontal="center"/>
    </xf>
    <xf numFmtId="0" fontId="36" fillId="26" borderId="0" xfId="7"/>
    <xf numFmtId="4" fontId="8" fillId="0" borderId="0" xfId="0" applyNumberFormat="1" applyFont="1"/>
    <xf numFmtId="0" fontId="8" fillId="27" borderId="1" xfId="0" applyFont="1" applyFill="1" applyBorder="1"/>
    <xf numFmtId="0" fontId="15" fillId="0" borderId="1" xfId="0" applyFont="1" applyBorder="1" applyProtection="1">
      <protection locked="0"/>
    </xf>
    <xf numFmtId="0" fontId="15" fillId="23" borderId="1" xfId="0" applyFont="1" applyFill="1" applyBorder="1" applyAlignment="1" applyProtection="1">
      <alignment horizontal="left"/>
      <protection locked="0"/>
    </xf>
    <xf numFmtId="3" fontId="15" fillId="22" borderId="1" xfId="0" applyNumberFormat="1" applyFont="1" applyFill="1" applyBorder="1" applyProtection="1">
      <protection locked="0"/>
    </xf>
    <xf numFmtId="0" fontId="15" fillId="22" borderId="8" xfId="0" applyFont="1" applyFill="1" applyBorder="1" applyProtection="1">
      <protection locked="0"/>
    </xf>
    <xf numFmtId="0" fontId="15" fillId="22" borderId="1" xfId="0" applyFont="1" applyFill="1" applyBorder="1" applyAlignment="1" applyProtection="1">
      <alignment vertical="top"/>
      <protection locked="0"/>
    </xf>
    <xf numFmtId="3" fontId="15" fillId="23" borderId="1" xfId="0" applyNumberFormat="1" applyFont="1" applyFill="1" applyBorder="1" applyProtection="1">
      <protection locked="0"/>
    </xf>
    <xf numFmtId="0" fontId="15" fillId="23" borderId="1" xfId="0" applyFont="1" applyFill="1" applyBorder="1" applyProtection="1">
      <protection locked="0"/>
    </xf>
    <xf numFmtId="0" fontId="8" fillId="0" borderId="1" xfId="0" applyFont="1" applyBorder="1" applyAlignment="1" applyProtection="1">
      <alignment wrapText="1"/>
      <protection locked="0"/>
    </xf>
    <xf numFmtId="0" fontId="8" fillId="0" borderId="1" xfId="0" applyFont="1" applyBorder="1" applyProtection="1">
      <protection locked="0"/>
    </xf>
    <xf numFmtId="0" fontId="8" fillId="23" borderId="1" xfId="0" applyFont="1" applyFill="1" applyBorder="1" applyProtection="1">
      <protection locked="0"/>
    </xf>
    <xf numFmtId="0" fontId="8" fillId="23" borderId="1" xfId="0" applyFont="1" applyFill="1" applyBorder="1" applyAlignment="1" applyProtection="1">
      <alignment vertical="top" wrapText="1"/>
      <protection locked="0"/>
    </xf>
    <xf numFmtId="3" fontId="8" fillId="0" borderId="14" xfId="0" applyNumberFormat="1" applyFont="1" applyBorder="1" applyAlignment="1">
      <alignment horizontal="center"/>
    </xf>
    <xf numFmtId="3" fontId="8" fillId="0" borderId="0" xfId="0" applyNumberFormat="1" applyFont="1" applyAlignment="1">
      <alignment horizontal="center"/>
    </xf>
    <xf numFmtId="0" fontId="15" fillId="17" borderId="1" xfId="0" applyFont="1" applyFill="1" applyBorder="1" applyAlignment="1">
      <alignment vertical="top"/>
    </xf>
    <xf numFmtId="0" fontId="15" fillId="0" borderId="1" xfId="0" applyFont="1" applyBorder="1" applyAlignment="1">
      <alignment vertical="top" wrapText="1"/>
    </xf>
    <xf numFmtId="0" fontId="15" fillId="0" borderId="1" xfId="0" applyFont="1" applyBorder="1" applyAlignment="1">
      <alignment vertical="top"/>
    </xf>
    <xf numFmtId="0" fontId="15" fillId="22" borderId="6" xfId="0" applyFont="1" applyFill="1" applyBorder="1" applyAlignment="1">
      <alignment vertical="center"/>
    </xf>
    <xf numFmtId="0" fontId="15" fillId="22" borderId="7" xfId="0" applyFont="1" applyFill="1" applyBorder="1" applyAlignment="1">
      <alignment vertical="center"/>
    </xf>
    <xf numFmtId="0" fontId="15" fillId="23" borderId="6" xfId="0" applyFont="1" applyFill="1" applyBorder="1" applyAlignment="1">
      <alignment vertical="center"/>
    </xf>
    <xf numFmtId="0" fontId="15" fillId="23" borderId="7" xfId="0" applyFont="1" applyFill="1" applyBorder="1" applyAlignment="1">
      <alignment vertical="center"/>
    </xf>
    <xf numFmtId="0" fontId="8" fillId="16" borderId="6" xfId="0" applyFont="1" applyFill="1" applyBorder="1"/>
    <xf numFmtId="0" fontId="8" fillId="16" borderId="23" xfId="0" applyFont="1" applyFill="1" applyBorder="1"/>
    <xf numFmtId="0" fontId="8" fillId="16" borderId="7" xfId="0" applyFont="1" applyFill="1" applyBorder="1"/>
    <xf numFmtId="0" fontId="8" fillId="16" borderId="0" xfId="0" applyFont="1" applyFill="1"/>
    <xf numFmtId="0" fontId="8" fillId="0" borderId="37" xfId="0" applyFont="1" applyBorder="1"/>
    <xf numFmtId="0" fontId="8" fillId="0" borderId="38" xfId="0" applyFont="1" applyBorder="1"/>
    <xf numFmtId="0" fontId="17" fillId="17" borderId="2" xfId="0" applyFont="1" applyFill="1" applyBorder="1"/>
    <xf numFmtId="0" fontId="15" fillId="17" borderId="3" xfId="0" applyFont="1" applyFill="1" applyBorder="1"/>
    <xf numFmtId="0" fontId="15" fillId="17" borderId="9" xfId="0" applyFont="1" applyFill="1" applyBorder="1"/>
    <xf numFmtId="0" fontId="15" fillId="17" borderId="4" xfId="0" applyFont="1" applyFill="1" applyBorder="1"/>
    <xf numFmtId="0" fontId="15" fillId="17" borderId="5" xfId="0" applyFont="1" applyFill="1" applyBorder="1"/>
    <xf numFmtId="0" fontId="15" fillId="17" borderId="7" xfId="0" applyFont="1" applyFill="1" applyBorder="1"/>
    <xf numFmtId="0" fontId="15" fillId="17" borderId="14" xfId="0" applyFont="1" applyFill="1" applyBorder="1"/>
    <xf numFmtId="0" fontId="15" fillId="17" borderId="8" xfId="0" applyFont="1" applyFill="1" applyBorder="1"/>
    <xf numFmtId="0" fontId="8" fillId="5" borderId="25" xfId="0" applyFont="1" applyFill="1" applyBorder="1"/>
    <xf numFmtId="0" fontId="8" fillId="5" borderId="26" xfId="0" applyFont="1" applyFill="1" applyBorder="1"/>
    <xf numFmtId="0" fontId="8" fillId="5" borderId="34" xfId="0" applyFont="1" applyFill="1" applyBorder="1"/>
    <xf numFmtId="0" fontId="8" fillId="5" borderId="42" xfId="0" applyFont="1" applyFill="1" applyBorder="1"/>
    <xf numFmtId="0" fontId="8" fillId="5" borderId="0" xfId="0" applyFont="1" applyFill="1"/>
    <xf numFmtId="0" fontId="15" fillId="0" borderId="8" xfId="0" applyFont="1" applyBorder="1"/>
    <xf numFmtId="0" fontId="15" fillId="0" borderId="6" xfId="0" applyFont="1" applyBorder="1"/>
    <xf numFmtId="0" fontId="8" fillId="0" borderId="27" xfId="0" applyFont="1" applyBorder="1"/>
    <xf numFmtId="3" fontId="8" fillId="0" borderId="5" xfId="0" applyNumberFormat="1" applyFont="1" applyBorder="1"/>
    <xf numFmtId="3" fontId="8" fillId="0" borderId="14" xfId="0" applyNumberFormat="1" applyFont="1" applyBorder="1"/>
    <xf numFmtId="3" fontId="8" fillId="0" borderId="35" xfId="0" applyNumberFormat="1" applyFont="1" applyBorder="1"/>
    <xf numFmtId="3" fontId="8" fillId="0" borderId="41" xfId="0" applyNumberFormat="1" applyFont="1" applyBorder="1"/>
    <xf numFmtId="3" fontId="8" fillId="0" borderId="32" xfId="0" applyNumberFormat="1" applyFont="1" applyBorder="1"/>
    <xf numFmtId="0" fontId="8" fillId="0" borderId="28" xfId="0" applyFont="1" applyBorder="1"/>
    <xf numFmtId="3" fontId="8" fillId="0" borderId="43" xfId="0" applyNumberFormat="1" applyFont="1" applyBorder="1"/>
    <xf numFmtId="3" fontId="8" fillId="0" borderId="44" xfId="0" applyNumberFormat="1" applyFont="1" applyBorder="1"/>
    <xf numFmtId="0" fontId="15" fillId="0" borderId="2" xfId="0" applyFont="1" applyBorder="1"/>
    <xf numFmtId="0" fontId="15" fillId="0" borderId="12" xfId="0" applyFont="1" applyBorder="1"/>
    <xf numFmtId="0" fontId="15" fillId="0" borderId="3" xfId="0" applyFont="1" applyBorder="1"/>
    <xf numFmtId="0" fontId="9" fillId="0" borderId="30" xfId="0" applyFont="1" applyBorder="1"/>
    <xf numFmtId="3" fontId="8" fillId="0" borderId="42" xfId="0" applyNumberFormat="1" applyFont="1" applyBorder="1"/>
    <xf numFmtId="3" fontId="8" fillId="0" borderId="26" xfId="0" applyNumberFormat="1" applyFont="1" applyBorder="1"/>
    <xf numFmtId="3" fontId="8" fillId="0" borderId="33" xfId="0" applyNumberFormat="1" applyFont="1" applyBorder="1"/>
    <xf numFmtId="3" fontId="8" fillId="0" borderId="25" xfId="0" applyNumberFormat="1" applyFont="1" applyBorder="1"/>
    <xf numFmtId="3" fontId="8" fillId="0" borderId="34" xfId="0" applyNumberFormat="1" applyFont="1" applyBorder="1"/>
    <xf numFmtId="0" fontId="8" fillId="7" borderId="42" xfId="0" applyFont="1" applyFill="1" applyBorder="1"/>
    <xf numFmtId="0" fontId="8" fillId="7" borderId="26" xfId="0" applyFont="1" applyFill="1" applyBorder="1"/>
    <xf numFmtId="0" fontId="8" fillId="7" borderId="34" xfId="0" applyFont="1" applyFill="1" applyBorder="1"/>
    <xf numFmtId="0" fontId="15" fillId="0" borderId="4" xfId="0" applyFont="1" applyBorder="1" applyAlignment="1">
      <alignment horizontal="center"/>
    </xf>
    <xf numFmtId="0" fontId="15" fillId="0" borderId="5" xfId="0" applyFont="1" applyBorder="1" applyAlignment="1">
      <alignment horizontal="center"/>
    </xf>
    <xf numFmtId="0" fontId="15" fillId="0" borderId="11" xfId="0" applyFont="1" applyBorder="1"/>
    <xf numFmtId="0" fontId="15" fillId="0" borderId="13" xfId="0" applyFont="1" applyBorder="1"/>
    <xf numFmtId="0" fontId="8" fillId="6" borderId="20" xfId="0" applyFont="1" applyFill="1" applyBorder="1"/>
    <xf numFmtId="3" fontId="8" fillId="6" borderId="37" xfId="0" applyNumberFormat="1" applyFont="1" applyFill="1" applyBorder="1"/>
    <xf numFmtId="3" fontId="8" fillId="6" borderId="38" xfId="0" applyNumberFormat="1" applyFont="1" applyFill="1" applyBorder="1"/>
    <xf numFmtId="3" fontId="8" fillId="6" borderId="39" xfId="0" applyNumberFormat="1" applyFont="1" applyFill="1" applyBorder="1"/>
    <xf numFmtId="0" fontId="15" fillId="0" borderId="7" xfId="0" applyFont="1" applyBorder="1"/>
    <xf numFmtId="0" fontId="15" fillId="0" borderId="4" xfId="0" applyFont="1" applyBorder="1"/>
    <xf numFmtId="0" fontId="15" fillId="0" borderId="14" xfId="0" applyFont="1" applyBorder="1"/>
    <xf numFmtId="0" fontId="15" fillId="0" borderId="5" xfId="0" applyFont="1" applyBorder="1"/>
    <xf numFmtId="0" fontId="15" fillId="17" borderId="6" xfId="0" applyFont="1" applyFill="1" applyBorder="1"/>
    <xf numFmtId="0" fontId="15" fillId="17" borderId="23" xfId="0" applyFont="1" applyFill="1" applyBorder="1"/>
    <xf numFmtId="0" fontId="15" fillId="0" borderId="1" xfId="0" applyFont="1" applyBorder="1" applyAlignment="1">
      <alignment wrapText="1"/>
    </xf>
    <xf numFmtId="0" fontId="17" fillId="17" borderId="1" xfId="0" applyFont="1" applyFill="1" applyBorder="1"/>
    <xf numFmtId="3" fontId="8" fillId="6" borderId="74" xfId="0" applyNumberFormat="1" applyFont="1" applyFill="1" applyBorder="1"/>
    <xf numFmtId="0" fontId="15" fillId="22" borderId="1" xfId="0" applyFont="1" applyFill="1" applyBorder="1"/>
    <xf numFmtId="0" fontId="8" fillId="16" borderId="27" xfId="0" applyFont="1" applyFill="1" applyBorder="1"/>
    <xf numFmtId="0" fontId="8" fillId="16" borderId="1" xfId="0" applyFont="1" applyFill="1" applyBorder="1"/>
    <xf numFmtId="0" fontId="8" fillId="0" borderId="29" xfId="0" applyFont="1" applyBorder="1"/>
    <xf numFmtId="0" fontId="19" fillId="0" borderId="0" xfId="0" applyFont="1"/>
    <xf numFmtId="0" fontId="8" fillId="0" borderId="30" xfId="0" applyFont="1" applyBorder="1"/>
    <xf numFmtId="1" fontId="9" fillId="0" borderId="1" xfId="0" applyNumberFormat="1" applyFont="1" applyBorder="1"/>
    <xf numFmtId="3" fontId="8" fillId="8" borderId="1" xfId="0" applyNumberFormat="1" applyFont="1" applyFill="1" applyBorder="1"/>
    <xf numFmtId="0" fontId="9" fillId="8" borderId="1" xfId="0" applyFont="1" applyFill="1" applyBorder="1"/>
    <xf numFmtId="3" fontId="9" fillId="8" borderId="1" xfId="0" applyNumberFormat="1" applyFont="1" applyFill="1" applyBorder="1"/>
    <xf numFmtId="0" fontId="11" fillId="0" borderId="1" xfId="0" applyFont="1" applyBorder="1"/>
    <xf numFmtId="0" fontId="8" fillId="0" borderId="8" xfId="0" applyFont="1" applyBorder="1"/>
    <xf numFmtId="165" fontId="8" fillId="0" borderId="0" xfId="0" applyNumberFormat="1" applyFont="1"/>
    <xf numFmtId="0" fontId="8" fillId="0" borderId="9" xfId="0" applyFont="1" applyBorder="1"/>
    <xf numFmtId="167" fontId="8" fillId="0" borderId="1" xfId="0" applyNumberFormat="1" applyFont="1" applyBorder="1"/>
    <xf numFmtId="0" fontId="15" fillId="17" borderId="2" xfId="0" applyFont="1" applyFill="1" applyBorder="1" applyAlignment="1">
      <alignment vertical="top" wrapText="1"/>
    </xf>
    <xf numFmtId="0" fontId="15" fillId="17" borderId="12" xfId="0" applyFont="1" applyFill="1" applyBorder="1"/>
    <xf numFmtId="0" fontId="15" fillId="17" borderId="3" xfId="0" applyFont="1" applyFill="1" applyBorder="1" applyAlignment="1">
      <alignment vertical="top" wrapText="1"/>
    </xf>
    <xf numFmtId="0" fontId="15" fillId="17" borderId="1" xfId="0" applyFont="1" applyFill="1" applyBorder="1" applyAlignment="1">
      <alignment vertical="top" wrapText="1"/>
    </xf>
    <xf numFmtId="0" fontId="17" fillId="17" borderId="1" xfId="0" applyFont="1" applyFill="1" applyBorder="1" applyAlignment="1">
      <alignment vertical="top" wrapText="1"/>
    </xf>
    <xf numFmtId="0" fontId="15" fillId="17" borderId="4" xfId="0" applyFont="1" applyFill="1" applyBorder="1" applyAlignment="1">
      <alignment vertical="top" wrapText="1"/>
    </xf>
    <xf numFmtId="0" fontId="15" fillId="17" borderId="14" xfId="0" applyFont="1" applyFill="1" applyBorder="1" applyAlignment="1">
      <alignment horizontal="left" vertical="top" wrapText="1"/>
    </xf>
    <xf numFmtId="0" fontId="15" fillId="17" borderId="5" xfId="0" applyFont="1" applyFill="1" applyBorder="1" applyAlignment="1">
      <alignment vertical="top" wrapText="1"/>
    </xf>
    <xf numFmtId="3" fontId="18" fillId="0" borderId="1" xfId="0" applyNumberFormat="1" applyFont="1" applyBorder="1"/>
    <xf numFmtId="3" fontId="15" fillId="0" borderId="1" xfId="0" applyNumberFormat="1" applyFont="1" applyBorder="1"/>
    <xf numFmtId="3" fontId="17" fillId="0" borderId="1" xfId="0" applyNumberFormat="1" applyFont="1" applyBorder="1"/>
    <xf numFmtId="166" fontId="18" fillId="0" borderId="1" xfId="0" applyNumberFormat="1" applyFont="1" applyBorder="1"/>
    <xf numFmtId="1" fontId="8" fillId="13" borderId="1" xfId="0" applyNumberFormat="1" applyFont="1" applyFill="1" applyBorder="1"/>
    <xf numFmtId="0" fontId="8" fillId="13" borderId="1" xfId="0" applyFont="1" applyFill="1" applyBorder="1"/>
    <xf numFmtId="9" fontId="15" fillId="0" borderId="1" xfId="0" applyNumberFormat="1" applyFont="1" applyBorder="1"/>
    <xf numFmtId="3" fontId="8" fillId="13" borderId="1" xfId="0" applyNumberFormat="1" applyFont="1" applyFill="1" applyBorder="1"/>
    <xf numFmtId="9" fontId="8" fillId="13" borderId="1" xfId="0" applyNumberFormat="1" applyFont="1" applyFill="1" applyBorder="1"/>
    <xf numFmtId="2" fontId="8" fillId="13" borderId="1" xfId="0" applyNumberFormat="1" applyFont="1" applyFill="1" applyBorder="1"/>
    <xf numFmtId="0" fontId="15" fillId="0" borderId="0" xfId="0" applyFont="1" applyAlignment="1">
      <alignment horizontal="right"/>
    </xf>
    <xf numFmtId="3" fontId="8" fillId="2" borderId="1" xfId="0" applyNumberFormat="1" applyFont="1" applyFill="1" applyBorder="1"/>
    <xf numFmtId="0" fontId="21" fillId="0" borderId="0" xfId="0" applyFont="1"/>
    <xf numFmtId="9" fontId="15" fillId="0" borderId="1" xfId="0" applyNumberFormat="1" applyFont="1" applyBorder="1" applyAlignment="1">
      <alignment horizontal="right"/>
    </xf>
    <xf numFmtId="9" fontId="8" fillId="0" borderId="0" xfId="0" applyNumberFormat="1" applyFont="1"/>
    <xf numFmtId="0" fontId="17" fillId="18" borderId="1" xfId="0" applyFont="1" applyFill="1" applyBorder="1"/>
    <xf numFmtId="3" fontId="17" fillId="18" borderId="1" xfId="0" applyNumberFormat="1" applyFont="1" applyFill="1" applyBorder="1"/>
    <xf numFmtId="9" fontId="17" fillId="18" borderId="1" xfId="0" applyNumberFormat="1" applyFont="1" applyFill="1" applyBorder="1"/>
    <xf numFmtId="0" fontId="15" fillId="17" borderId="12" xfId="0" applyFont="1" applyFill="1" applyBorder="1" applyAlignment="1">
      <alignment vertical="top" wrapText="1"/>
    </xf>
    <xf numFmtId="0" fontId="15" fillId="17" borderId="14" xfId="0" applyFont="1" applyFill="1" applyBorder="1" applyAlignment="1">
      <alignment vertical="top" wrapText="1"/>
    </xf>
    <xf numFmtId="3" fontId="22" fillId="0" borderId="1" xfId="0" applyNumberFormat="1" applyFont="1" applyBorder="1"/>
    <xf numFmtId="0" fontId="15" fillId="17" borderId="1" xfId="0" applyFont="1" applyFill="1" applyBorder="1" applyAlignment="1">
      <alignment wrapText="1"/>
    </xf>
    <xf numFmtId="165" fontId="15" fillId="0" borderId="1" xfId="0" applyNumberFormat="1" applyFont="1" applyBorder="1"/>
    <xf numFmtId="0" fontId="8" fillId="17" borderId="1" xfId="0" applyFont="1" applyFill="1" applyBorder="1" applyAlignment="1">
      <alignment vertical="top"/>
    </xf>
    <xf numFmtId="0" fontId="8" fillId="17" borderId="1" xfId="0" applyFont="1" applyFill="1" applyBorder="1" applyAlignment="1">
      <alignment vertical="top" wrapText="1"/>
    </xf>
    <xf numFmtId="0" fontId="8" fillId="0" borderId="0" xfId="0" applyFont="1" applyAlignment="1">
      <alignment wrapText="1"/>
    </xf>
    <xf numFmtId="0" fontId="11" fillId="0" borderId="15" xfId="0" applyFont="1" applyBorder="1"/>
    <xf numFmtId="0" fontId="11" fillId="0" borderId="16" xfId="0" applyFont="1" applyBorder="1"/>
    <xf numFmtId="0" fontId="8" fillId="0" borderId="24" xfId="0" applyFont="1" applyBorder="1"/>
    <xf numFmtId="0" fontId="8" fillId="0" borderId="13" xfId="0" applyFont="1" applyBorder="1"/>
    <xf numFmtId="0" fontId="8" fillId="2" borderId="1" xfId="0" applyFont="1" applyFill="1" applyBorder="1"/>
    <xf numFmtId="0" fontId="9" fillId="18" borderId="1" xfId="0" applyFont="1" applyFill="1" applyBorder="1"/>
    <xf numFmtId="0" fontId="8" fillId="0" borderId="25" xfId="0" applyFont="1" applyBorder="1"/>
    <xf numFmtId="0" fontId="8" fillId="0" borderId="26" xfId="0" applyFont="1" applyBorder="1"/>
    <xf numFmtId="0" fontId="37" fillId="0" borderId="0" xfId="0" applyFont="1"/>
    <xf numFmtId="0" fontId="8" fillId="0" borderId="39" xfId="0" applyFont="1" applyBorder="1"/>
    <xf numFmtId="0" fontId="8" fillId="0" borderId="6" xfId="0" applyFont="1" applyBorder="1" applyAlignment="1">
      <alignment horizontal="left"/>
    </xf>
    <xf numFmtId="0" fontId="8" fillId="0" borderId="23" xfId="0" applyFont="1" applyBorder="1" applyAlignment="1">
      <alignment horizontal="left"/>
    </xf>
    <xf numFmtId="0" fontId="8" fillId="0" borderId="7" xfId="0" applyFont="1" applyBorder="1" applyAlignment="1">
      <alignment horizontal="left"/>
    </xf>
    <xf numFmtId="0" fontId="8" fillId="0" borderId="0" xfId="0" applyFont="1" applyAlignment="1">
      <alignment horizontal="left" vertical="top" wrapText="1"/>
    </xf>
    <xf numFmtId="0" fontId="8" fillId="0" borderId="0" xfId="0" applyFont="1" applyAlignment="1">
      <alignment horizontal="left" vertical="top"/>
    </xf>
    <xf numFmtId="0" fontId="8" fillId="17" borderId="1" xfId="0" applyFont="1" applyFill="1" applyBorder="1"/>
    <xf numFmtId="0" fontId="8" fillId="0" borderId="1" xfId="0" applyFont="1" applyBorder="1" applyAlignment="1">
      <alignment horizontal="left"/>
    </xf>
    <xf numFmtId="0" fontId="15" fillId="21" borderId="1" xfId="0" applyFont="1" applyFill="1" applyBorder="1" applyAlignment="1" applyProtection="1">
      <alignment horizontal="center" vertical="top"/>
      <protection hidden="1"/>
    </xf>
    <xf numFmtId="3" fontId="15" fillId="0" borderId="1" xfId="0" applyNumberFormat="1" applyFont="1" applyBorder="1" applyAlignment="1" applyProtection="1">
      <alignment horizontal="right"/>
      <protection hidden="1"/>
    </xf>
    <xf numFmtId="0" fontId="15" fillId="18" borderId="1" xfId="0" applyFont="1" applyFill="1" applyBorder="1" applyAlignment="1" applyProtection="1">
      <alignment horizontal="center" vertical="top"/>
      <protection hidden="1"/>
    </xf>
    <xf numFmtId="0" fontId="15" fillId="0" borderId="1" xfId="0" applyFont="1" applyBorder="1" applyAlignment="1" applyProtection="1">
      <alignment horizontal="right"/>
      <protection hidden="1"/>
    </xf>
    <xf numFmtId="3" fontId="15" fillId="0" borderId="6" xfId="0" applyNumberFormat="1" applyFont="1" applyBorder="1" applyAlignment="1" applyProtection="1">
      <alignment horizontal="right"/>
      <protection hidden="1"/>
    </xf>
    <xf numFmtId="0" fontId="15" fillId="0" borderId="7" xfId="0" applyFont="1" applyBorder="1" applyAlignment="1" applyProtection="1">
      <alignment horizontal="right"/>
      <protection hidden="1"/>
    </xf>
    <xf numFmtId="0" fontId="10" fillId="0" borderId="0" xfId="0" applyFont="1" applyAlignment="1">
      <alignment horizontal="left" vertical="top" wrapText="1"/>
    </xf>
    <xf numFmtId="3" fontId="15" fillId="0" borderId="1" xfId="0" applyNumberFormat="1" applyFont="1" applyBorder="1" applyProtection="1">
      <protection hidden="1"/>
    </xf>
    <xf numFmtId="0" fontId="15" fillId="17" borderId="1" xfId="0" applyFont="1" applyFill="1" applyBorder="1" applyAlignment="1" applyProtection="1">
      <alignment horizontal="center" vertical="top"/>
      <protection hidden="1"/>
    </xf>
    <xf numFmtId="0" fontId="15" fillId="22" borderId="1" xfId="0" applyFont="1" applyFill="1" applyBorder="1" applyAlignment="1" applyProtection="1">
      <alignment horizontal="center" vertical="top"/>
      <protection hidden="1"/>
    </xf>
    <xf numFmtId="0" fontId="15" fillId="23" borderId="1" xfId="0" applyFont="1" applyFill="1" applyBorder="1" applyAlignment="1" applyProtection="1">
      <alignment horizontal="center" vertical="top"/>
      <protection hidden="1"/>
    </xf>
    <xf numFmtId="0" fontId="15" fillId="22" borderId="7" xfId="0" applyFont="1" applyFill="1" applyBorder="1" applyAlignment="1" applyProtection="1">
      <alignment horizontal="center" vertical="top"/>
      <protection hidden="1"/>
    </xf>
    <xf numFmtId="0" fontId="8" fillId="0" borderId="0" xfId="0" applyFont="1" applyProtection="1">
      <protection hidden="1"/>
    </xf>
    <xf numFmtId="0" fontId="15" fillId="0" borderId="6" xfId="0" applyFont="1" applyBorder="1" applyAlignment="1" applyProtection="1">
      <alignment horizontal="center" wrapText="1"/>
      <protection hidden="1"/>
    </xf>
    <xf numFmtId="0" fontId="15" fillId="0" borderId="7" xfId="0" applyFont="1" applyBorder="1" applyAlignment="1" applyProtection="1">
      <alignment horizontal="center" wrapText="1"/>
      <protection hidden="1"/>
    </xf>
    <xf numFmtId="0" fontId="15" fillId="0" borderId="6" xfId="0" applyFont="1" applyBorder="1" applyAlignment="1" applyProtection="1">
      <alignment horizontal="center"/>
      <protection hidden="1"/>
    </xf>
    <xf numFmtId="0" fontId="15" fillId="0" borderId="7" xfId="0" applyFont="1" applyBorder="1" applyAlignment="1" applyProtection="1">
      <alignment horizontal="center"/>
      <protection hidden="1"/>
    </xf>
    <xf numFmtId="0" fontId="15" fillId="0" borderId="1" xfId="0" applyFont="1" applyBorder="1" applyAlignment="1" applyProtection="1">
      <alignment horizontal="left" wrapText="1"/>
      <protection hidden="1"/>
    </xf>
    <xf numFmtId="0" fontId="8" fillId="22" borderId="6" xfId="0" applyFont="1" applyFill="1" applyBorder="1" applyAlignment="1" applyProtection="1">
      <alignment horizontal="left" vertical="top" wrapText="1"/>
      <protection locked="0"/>
    </xf>
    <xf numFmtId="0" fontId="8" fillId="22" borderId="23" xfId="0" applyFont="1" applyFill="1" applyBorder="1" applyAlignment="1" applyProtection="1">
      <alignment horizontal="left" vertical="top" wrapText="1"/>
      <protection locked="0"/>
    </xf>
    <xf numFmtId="0" fontId="8" fillId="22" borderId="7" xfId="0" applyFont="1" applyFill="1" applyBorder="1" applyAlignment="1" applyProtection="1">
      <alignment horizontal="left" vertical="top" wrapText="1"/>
      <protection locked="0"/>
    </xf>
    <xf numFmtId="0" fontId="8" fillId="22" borderId="2" xfId="0" applyFont="1" applyFill="1" applyBorder="1" applyAlignment="1" applyProtection="1">
      <alignment horizontal="left" vertical="top" wrapText="1"/>
      <protection locked="0"/>
    </xf>
    <xf numFmtId="0" fontId="8" fillId="22" borderId="12" xfId="0" applyFont="1" applyFill="1" applyBorder="1" applyAlignment="1" applyProtection="1">
      <alignment horizontal="left" vertical="top" wrapText="1"/>
      <protection locked="0"/>
    </xf>
    <xf numFmtId="0" fontId="8" fillId="22" borderId="3" xfId="0" applyFont="1" applyFill="1" applyBorder="1" applyAlignment="1" applyProtection="1">
      <alignment horizontal="left" vertical="top" wrapText="1"/>
      <protection locked="0"/>
    </xf>
    <xf numFmtId="0" fontId="8" fillId="22" borderId="4" xfId="0" applyFont="1" applyFill="1" applyBorder="1" applyAlignment="1" applyProtection="1">
      <alignment horizontal="left" vertical="top" wrapText="1"/>
      <protection locked="0"/>
    </xf>
    <xf numFmtId="0" fontId="8" fillId="22" borderId="14" xfId="0" applyFont="1" applyFill="1" applyBorder="1" applyAlignment="1" applyProtection="1">
      <alignment horizontal="left" vertical="top" wrapText="1"/>
      <protection locked="0"/>
    </xf>
    <xf numFmtId="0" fontId="8" fillId="22" borderId="5" xfId="0" applyFont="1" applyFill="1" applyBorder="1" applyAlignment="1" applyProtection="1">
      <alignment horizontal="left" vertical="top" wrapText="1"/>
      <protection locked="0"/>
    </xf>
    <xf numFmtId="0" fontId="9" fillId="0" borderId="0" xfId="0" applyFont="1" applyAlignment="1">
      <alignment horizontal="center"/>
    </xf>
    <xf numFmtId="0" fontId="15" fillId="17" borderId="1" xfId="0" applyFont="1" applyFill="1" applyBorder="1" applyAlignment="1">
      <alignment horizontal="center" vertical="top"/>
    </xf>
    <xf numFmtId="0" fontId="15" fillId="23" borderId="6" xfId="0" applyFont="1" applyFill="1" applyBorder="1" applyAlignment="1" applyProtection="1">
      <alignment horizontal="left"/>
      <protection locked="0"/>
    </xf>
    <xf numFmtId="0" fontId="15" fillId="23" borderId="23" xfId="0" applyFont="1" applyFill="1" applyBorder="1" applyAlignment="1" applyProtection="1">
      <alignment horizontal="left"/>
      <protection locked="0"/>
    </xf>
    <xf numFmtId="0" fontId="15" fillId="23" borderId="7" xfId="0" applyFont="1" applyFill="1" applyBorder="1" applyAlignment="1" applyProtection="1">
      <alignment horizontal="left"/>
      <protection locked="0"/>
    </xf>
    <xf numFmtId="0" fontId="15" fillId="23" borderId="1" xfId="0" applyFont="1" applyFill="1" applyBorder="1" applyAlignment="1" applyProtection="1">
      <alignment horizontal="left"/>
      <protection locked="0"/>
    </xf>
    <xf numFmtId="9" fontId="18" fillId="0" borderId="9" xfId="0" applyNumberFormat="1" applyFont="1" applyBorder="1" applyAlignment="1">
      <alignment horizontal="center" vertical="center"/>
    </xf>
    <xf numFmtId="9" fontId="18" fillId="0" borderId="8" xfId="0" applyNumberFormat="1" applyFont="1" applyBorder="1" applyAlignment="1">
      <alignment horizontal="center" vertical="center"/>
    </xf>
    <xf numFmtId="0" fontId="15" fillId="23" borderId="2" xfId="0" applyFont="1" applyFill="1" applyBorder="1" applyAlignment="1" applyProtection="1">
      <alignment horizontal="left"/>
      <protection locked="0"/>
    </xf>
    <xf numFmtId="0" fontId="15" fillId="23" borderId="12" xfId="0" applyFont="1" applyFill="1" applyBorder="1" applyAlignment="1" applyProtection="1">
      <alignment horizontal="left"/>
      <protection locked="0"/>
    </xf>
    <xf numFmtId="0" fontId="15" fillId="23" borderId="3" xfId="0" applyFont="1" applyFill="1" applyBorder="1" applyAlignment="1" applyProtection="1">
      <alignment horizontal="left"/>
      <protection locked="0"/>
    </xf>
    <xf numFmtId="0" fontId="15" fillId="23" borderId="6" xfId="0" applyFont="1" applyFill="1" applyBorder="1" applyAlignment="1" applyProtection="1">
      <alignment horizontal="left" vertical="top"/>
      <protection locked="0"/>
    </xf>
    <xf numFmtId="0" fontId="15" fillId="23" borderId="23" xfId="0" applyFont="1" applyFill="1" applyBorder="1" applyAlignment="1" applyProtection="1">
      <alignment horizontal="left" vertical="top"/>
      <protection locked="0"/>
    </xf>
    <xf numFmtId="0" fontId="15" fillId="23" borderId="7" xfId="0" applyFont="1" applyFill="1" applyBorder="1" applyAlignment="1" applyProtection="1">
      <alignment horizontal="left" vertical="top"/>
      <protection locked="0"/>
    </xf>
    <xf numFmtId="0" fontId="15" fillId="0" borderId="4" xfId="0" applyFont="1" applyBorder="1" applyAlignment="1">
      <alignment horizontal="center"/>
    </xf>
    <xf numFmtId="0" fontId="15" fillId="0" borderId="5" xfId="0" applyFont="1" applyBorder="1" applyAlignment="1">
      <alignment horizontal="center"/>
    </xf>
    <xf numFmtId="0" fontId="15" fillId="0" borderId="6" xfId="0" applyFont="1" applyBorder="1" applyAlignment="1" applyProtection="1">
      <alignment horizontal="center"/>
      <protection locked="0"/>
    </xf>
    <xf numFmtId="0" fontId="15" fillId="0" borderId="7" xfId="0" applyFont="1" applyBorder="1" applyAlignment="1" applyProtection="1">
      <alignment horizontal="center"/>
      <protection locked="0"/>
    </xf>
    <xf numFmtId="0" fontId="15" fillId="0" borderId="0" xfId="0" applyFont="1"/>
    <xf numFmtId="0" fontId="15" fillId="17" borderId="9" xfId="0" applyFont="1" applyFill="1" applyBorder="1" applyAlignment="1">
      <alignment horizontal="left" vertical="top" wrapText="1"/>
    </xf>
    <xf numFmtId="0" fontId="15" fillId="17" borderId="8" xfId="0" applyFont="1" applyFill="1" applyBorder="1" applyAlignment="1">
      <alignment horizontal="left" vertical="top" wrapText="1"/>
    </xf>
    <xf numFmtId="0" fontId="15" fillId="23" borderId="2" xfId="0" applyFont="1" applyFill="1" applyBorder="1" applyProtection="1">
      <protection locked="0"/>
    </xf>
    <xf numFmtId="0" fontId="15" fillId="23" borderId="12" xfId="0" applyFont="1" applyFill="1" applyBorder="1" applyProtection="1">
      <protection locked="0"/>
    </xf>
    <xf numFmtId="0" fontId="15" fillId="23" borderId="3" xfId="0" applyFont="1" applyFill="1" applyBorder="1" applyProtection="1">
      <protection locked="0"/>
    </xf>
    <xf numFmtId="0" fontId="15" fillId="23" borderId="2" xfId="0" applyFont="1" applyFill="1" applyBorder="1" applyAlignment="1" applyProtection="1">
      <alignment horizontal="center"/>
      <protection locked="0"/>
    </xf>
    <xf numFmtId="0" fontId="15" fillId="23" borderId="12" xfId="0" applyFont="1" applyFill="1" applyBorder="1" applyAlignment="1" applyProtection="1">
      <alignment horizontal="center"/>
      <protection locked="0"/>
    </xf>
    <xf numFmtId="0" fontId="15" fillId="23" borderId="3" xfId="0" applyFont="1" applyFill="1" applyBorder="1" applyAlignment="1" applyProtection="1">
      <alignment horizontal="center"/>
      <protection locked="0"/>
    </xf>
    <xf numFmtId="0" fontId="8" fillId="0" borderId="0" xfId="0" applyFont="1"/>
    <xf numFmtId="0" fontId="15" fillId="17" borderId="6" xfId="0" applyFont="1" applyFill="1" applyBorder="1" applyAlignment="1">
      <alignment horizontal="center" vertical="center" wrapText="1"/>
    </xf>
    <xf numFmtId="0" fontId="15" fillId="17" borderId="23" xfId="0" applyFont="1" applyFill="1" applyBorder="1" applyAlignment="1">
      <alignment horizontal="center" vertical="center" wrapText="1"/>
    </xf>
    <xf numFmtId="0" fontId="15" fillId="23" borderId="6" xfId="0" applyFont="1" applyFill="1" applyBorder="1" applyAlignment="1" applyProtection="1">
      <alignment horizontal="center"/>
      <protection locked="0"/>
    </xf>
    <xf numFmtId="0" fontId="15" fillId="23" borderId="23" xfId="0" applyFont="1" applyFill="1" applyBorder="1" applyAlignment="1" applyProtection="1">
      <alignment horizontal="center"/>
      <protection locked="0"/>
    </xf>
    <xf numFmtId="0" fontId="15" fillId="23" borderId="7" xfId="0" applyFont="1" applyFill="1" applyBorder="1" applyAlignment="1" applyProtection="1">
      <alignment horizontal="center"/>
      <protection locked="0"/>
    </xf>
    <xf numFmtId="0" fontId="19" fillId="0" borderId="2" xfId="0" applyFont="1" applyBorder="1" applyAlignment="1">
      <alignment horizontal="left" vertical="top" wrapText="1"/>
    </xf>
    <xf numFmtId="0" fontId="19" fillId="0" borderId="12" xfId="0" applyFont="1" applyBorder="1" applyAlignment="1">
      <alignment horizontal="left" vertical="top" wrapText="1"/>
    </xf>
    <xf numFmtId="0" fontId="19" fillId="0" borderId="3" xfId="0" applyFont="1" applyBorder="1" applyAlignment="1">
      <alignment horizontal="left" vertical="top" wrapText="1"/>
    </xf>
    <xf numFmtId="0" fontId="19" fillId="0" borderId="11" xfId="0" applyFont="1" applyBorder="1" applyAlignment="1">
      <alignment horizontal="left" vertical="top" wrapText="1"/>
    </xf>
    <xf numFmtId="0" fontId="19" fillId="0" borderId="0" xfId="0" applyFont="1" applyAlignment="1">
      <alignment horizontal="left" vertical="top" wrapText="1"/>
    </xf>
    <xf numFmtId="0" fontId="19" fillId="0" borderId="13" xfId="0" applyFont="1" applyBorder="1" applyAlignment="1">
      <alignment horizontal="left" vertical="top" wrapText="1"/>
    </xf>
    <xf numFmtId="0" fontId="19" fillId="0" borderId="4" xfId="0" applyFont="1" applyBorder="1" applyAlignment="1">
      <alignment horizontal="left" vertical="top" wrapText="1"/>
    </xf>
    <xf numFmtId="0" fontId="19" fillId="0" borderId="14" xfId="0" applyFont="1" applyBorder="1" applyAlignment="1">
      <alignment horizontal="left" vertical="top" wrapText="1"/>
    </xf>
    <xf numFmtId="0" fontId="19" fillId="0" borderId="5" xfId="0" applyFont="1" applyBorder="1" applyAlignment="1">
      <alignment horizontal="left" vertical="top" wrapText="1"/>
    </xf>
    <xf numFmtId="0" fontId="15" fillId="17" borderId="1" xfId="0" applyFont="1" applyFill="1" applyBorder="1" applyAlignment="1">
      <alignment horizontal="left" vertical="center" wrapText="1"/>
    </xf>
    <xf numFmtId="0" fontId="15" fillId="17" borderId="1" xfId="0" applyFont="1" applyFill="1" applyBorder="1" applyAlignment="1">
      <alignment horizontal="left" vertical="center"/>
    </xf>
    <xf numFmtId="0" fontId="17" fillId="17" borderId="9" xfId="0" applyFont="1" applyFill="1" applyBorder="1" applyAlignment="1">
      <alignment horizontal="left" vertical="top"/>
    </xf>
    <xf numFmtId="0" fontId="17" fillId="17" borderId="8" xfId="0" applyFont="1" applyFill="1" applyBorder="1" applyAlignment="1">
      <alignment horizontal="left" vertical="top"/>
    </xf>
    <xf numFmtId="0" fontId="15" fillId="17" borderId="7" xfId="0" applyFont="1" applyFill="1" applyBorder="1" applyAlignment="1">
      <alignment horizontal="center" vertical="center" wrapText="1"/>
    </xf>
    <xf numFmtId="0" fontId="15" fillId="23" borderId="6" xfId="0" applyFont="1" applyFill="1" applyBorder="1" applyAlignment="1">
      <alignment horizontal="left"/>
    </xf>
    <xf numFmtId="0" fontId="15" fillId="23" borderId="23" xfId="0" applyFont="1" applyFill="1" applyBorder="1" applyAlignment="1">
      <alignment horizontal="left"/>
    </xf>
    <xf numFmtId="0" fontId="15" fillId="23" borderId="7" xfId="0" applyFont="1" applyFill="1" applyBorder="1" applyAlignment="1">
      <alignment horizontal="left"/>
    </xf>
    <xf numFmtId="0" fontId="17" fillId="17" borderId="9" xfId="0" applyFont="1" applyFill="1" applyBorder="1" applyAlignment="1">
      <alignment horizontal="left" vertical="top" wrapText="1"/>
    </xf>
    <xf numFmtId="0" fontId="17" fillId="17" borderId="8" xfId="0" applyFont="1" applyFill="1" applyBorder="1" applyAlignment="1">
      <alignment horizontal="left" vertical="top" wrapText="1"/>
    </xf>
    <xf numFmtId="3" fontId="15" fillId="0" borderId="6" xfId="0" applyNumberFormat="1" applyFont="1" applyBorder="1" applyAlignment="1">
      <alignment horizontal="center"/>
    </xf>
    <xf numFmtId="3" fontId="15" fillId="0" borderId="23" xfId="0" applyNumberFormat="1" applyFont="1" applyBorder="1" applyAlignment="1">
      <alignment horizontal="center"/>
    </xf>
    <xf numFmtId="3" fontId="15" fillId="0" borderId="7" xfId="0" applyNumberFormat="1" applyFont="1" applyBorder="1" applyAlignment="1">
      <alignment horizontal="center"/>
    </xf>
    <xf numFmtId="3" fontId="15" fillId="22" borderId="6" xfId="0" applyNumberFormat="1" applyFont="1" applyFill="1" applyBorder="1" applyAlignment="1" applyProtection="1">
      <alignment horizontal="center"/>
      <protection locked="0"/>
    </xf>
    <xf numFmtId="3" fontId="15" fillId="22" borderId="23" xfId="0" applyNumberFormat="1" applyFont="1" applyFill="1" applyBorder="1" applyAlignment="1" applyProtection="1">
      <alignment horizontal="center"/>
      <protection locked="0"/>
    </xf>
    <xf numFmtId="3" fontId="15" fillId="22" borderId="7" xfId="0" applyNumberFormat="1" applyFont="1" applyFill="1" applyBorder="1" applyAlignment="1" applyProtection="1">
      <alignment horizontal="center"/>
      <protection locked="0"/>
    </xf>
    <xf numFmtId="0" fontId="15" fillId="0" borderId="1" xfId="0" applyFont="1" applyBorder="1" applyAlignment="1" applyProtection="1">
      <alignment horizontal="center"/>
      <protection locked="0"/>
    </xf>
    <xf numFmtId="0" fontId="15" fillId="0" borderId="2" xfId="0" applyFont="1" applyBorder="1" applyAlignment="1">
      <alignment horizontal="center"/>
    </xf>
    <xf numFmtId="0" fontId="15" fillId="0" borderId="3" xfId="0" applyFont="1" applyBorder="1" applyAlignment="1">
      <alignment horizontal="center"/>
    </xf>
    <xf numFmtId="0" fontId="15" fillId="18" borderId="6" xfId="0" applyFont="1" applyFill="1" applyBorder="1" applyAlignment="1">
      <alignment horizontal="center" vertical="top"/>
    </xf>
    <xf numFmtId="0" fontId="15" fillId="18" borderId="7" xfId="0" applyFont="1" applyFill="1" applyBorder="1" applyAlignment="1">
      <alignment horizontal="center" vertical="top"/>
    </xf>
    <xf numFmtId="0" fontId="15" fillId="24" borderId="6" xfId="0" applyFont="1" applyFill="1" applyBorder="1" applyAlignment="1">
      <alignment horizontal="center" vertical="top" wrapText="1"/>
    </xf>
    <xf numFmtId="0" fontId="15" fillId="24" borderId="7" xfId="0" applyFont="1" applyFill="1" applyBorder="1" applyAlignment="1">
      <alignment horizontal="center" vertical="top"/>
    </xf>
    <xf numFmtId="0" fontId="15" fillId="22" borderId="6" xfId="0" applyFont="1" applyFill="1" applyBorder="1" applyAlignment="1">
      <alignment horizontal="center" vertical="top"/>
    </xf>
    <xf numFmtId="0" fontId="15" fillId="22" borderId="7" xfId="0" applyFont="1" applyFill="1" applyBorder="1" applyAlignment="1">
      <alignment horizontal="center" vertical="top"/>
    </xf>
    <xf numFmtId="0" fontId="15" fillId="21" borderId="1" xfId="0" applyFont="1" applyFill="1" applyBorder="1" applyAlignment="1">
      <alignment horizontal="center" vertical="top"/>
    </xf>
    <xf numFmtId="0" fontId="8" fillId="0" borderId="14" xfId="0" applyFont="1" applyBorder="1" applyAlignment="1">
      <alignment horizontal="center"/>
    </xf>
    <xf numFmtId="0" fontId="9" fillId="12" borderId="35" xfId="0" applyFont="1" applyFill="1" applyBorder="1" applyAlignment="1">
      <alignment horizontal="center"/>
    </xf>
    <xf numFmtId="0" fontId="9" fillId="12" borderId="36" xfId="0" applyFont="1" applyFill="1" applyBorder="1" applyAlignment="1">
      <alignment horizontal="center"/>
    </xf>
    <xf numFmtId="0" fontId="9" fillId="12" borderId="40" xfId="0" applyFont="1" applyFill="1" applyBorder="1" applyAlignment="1">
      <alignment horizontal="center"/>
    </xf>
    <xf numFmtId="0" fontId="17" fillId="17" borderId="1" xfId="0" applyFont="1" applyFill="1" applyBorder="1" applyAlignment="1">
      <alignment horizontal="left"/>
    </xf>
    <xf numFmtId="0" fontId="15" fillId="17" borderId="9" xfId="0" applyFont="1" applyFill="1" applyBorder="1" applyAlignment="1">
      <alignment horizontal="left" wrapText="1"/>
    </xf>
    <xf numFmtId="0" fontId="15" fillId="17" borderId="8" xfId="0" applyFont="1" applyFill="1" applyBorder="1" applyAlignment="1">
      <alignment horizontal="left" wrapText="1"/>
    </xf>
    <xf numFmtId="0" fontId="15" fillId="22" borderId="6" xfId="0" applyFont="1" applyFill="1" applyBorder="1" applyAlignment="1" applyProtection="1">
      <alignment horizontal="left" vertical="top"/>
      <protection locked="0"/>
    </xf>
    <xf numFmtId="0" fontId="15" fillId="22" borderId="23" xfId="0" applyFont="1" applyFill="1" applyBorder="1" applyAlignment="1" applyProtection="1">
      <alignment horizontal="left" vertical="top"/>
      <protection locked="0"/>
    </xf>
    <xf numFmtId="0" fontId="15" fillId="22" borderId="7" xfId="0" applyFont="1" applyFill="1" applyBorder="1" applyAlignment="1" applyProtection="1">
      <alignment horizontal="left" vertical="top"/>
      <protection locked="0"/>
    </xf>
    <xf numFmtId="0" fontId="9" fillId="0" borderId="21" xfId="0" applyFont="1" applyBorder="1" applyAlignment="1">
      <alignment horizontal="center"/>
    </xf>
    <xf numFmtId="0" fontId="8" fillId="0" borderId="23" xfId="0" applyFont="1" applyBorder="1" applyAlignment="1">
      <alignment horizontal="center"/>
    </xf>
    <xf numFmtId="0" fontId="8" fillId="2" borderId="1" xfId="0" applyFont="1" applyFill="1" applyBorder="1" applyAlignment="1">
      <alignment horizontal="center"/>
    </xf>
    <xf numFmtId="0" fontId="15" fillId="0" borderId="6" xfId="0" applyFont="1" applyBorder="1" applyAlignment="1">
      <alignment horizontal="left" wrapText="1"/>
    </xf>
    <xf numFmtId="0" fontId="15" fillId="0" borderId="7" xfId="0" applyFont="1" applyBorder="1" applyAlignment="1">
      <alignment horizontal="left" wrapText="1"/>
    </xf>
    <xf numFmtId="0" fontId="17" fillId="17" borderId="6" xfId="0" applyFont="1" applyFill="1" applyBorder="1" applyAlignment="1">
      <alignment horizontal="left" vertical="top" wrapText="1"/>
    </xf>
    <xf numFmtId="0" fontId="17" fillId="17" borderId="7" xfId="0" applyFont="1" applyFill="1" applyBorder="1" applyAlignment="1">
      <alignment horizontal="left" vertical="top" wrapText="1"/>
    </xf>
    <xf numFmtId="3" fontId="17" fillId="0" borderId="6" xfId="0" applyNumberFormat="1" applyFont="1" applyBorder="1" applyAlignment="1">
      <alignment horizontal="right"/>
    </xf>
    <xf numFmtId="3" fontId="17" fillId="0" borderId="7" xfId="0" applyNumberFormat="1" applyFont="1" applyBorder="1" applyAlignment="1">
      <alignment horizontal="right"/>
    </xf>
    <xf numFmtId="0" fontId="9" fillId="3" borderId="35" xfId="0" applyFont="1" applyFill="1" applyBorder="1" applyAlignment="1">
      <alignment horizontal="center"/>
    </xf>
    <xf numFmtId="0" fontId="9" fillId="3" borderId="36" xfId="0" applyFont="1" applyFill="1" applyBorder="1" applyAlignment="1">
      <alignment horizontal="center"/>
    </xf>
    <xf numFmtId="0" fontId="9" fillId="3" borderId="40" xfId="0" applyFont="1" applyFill="1" applyBorder="1" applyAlignment="1">
      <alignment horizontal="center"/>
    </xf>
    <xf numFmtId="0" fontId="9" fillId="4" borderId="41" xfId="0" applyFont="1" applyFill="1" applyBorder="1" applyAlignment="1">
      <alignment horizontal="center"/>
    </xf>
    <xf numFmtId="0" fontId="9" fillId="4" borderId="36" xfId="0" applyFont="1" applyFill="1" applyBorder="1" applyAlignment="1">
      <alignment horizontal="center"/>
    </xf>
    <xf numFmtId="0" fontId="9" fillId="4" borderId="40" xfId="0" applyFont="1" applyFill="1" applyBorder="1" applyAlignment="1">
      <alignment horizontal="center"/>
    </xf>
    <xf numFmtId="0" fontId="8" fillId="0" borderId="37" xfId="0" applyFont="1" applyBorder="1" applyAlignment="1">
      <alignment horizontal="center"/>
    </xf>
    <xf numFmtId="0" fontId="8" fillId="0" borderId="38" xfId="0" applyFont="1" applyBorder="1" applyAlignment="1">
      <alignment horizontal="center"/>
    </xf>
    <xf numFmtId="0" fontId="8" fillId="0" borderId="39" xfId="0" applyFont="1" applyBorder="1" applyAlignment="1">
      <alignment horizontal="center"/>
    </xf>
    <xf numFmtId="0" fontId="8" fillId="0" borderId="8" xfId="0" applyFont="1" applyBorder="1" applyAlignment="1">
      <alignment horizontal="center"/>
    </xf>
    <xf numFmtId="0" fontId="8" fillId="8" borderId="1" xfId="0" applyFont="1" applyFill="1" applyBorder="1" applyAlignment="1">
      <alignment horizontal="center"/>
    </xf>
    <xf numFmtId="0" fontId="23" fillId="0" borderId="2" xfId="0" applyFont="1" applyBorder="1" applyAlignment="1">
      <alignment horizontal="left" vertical="top" wrapText="1"/>
    </xf>
    <xf numFmtId="167" fontId="15" fillId="0" borderId="6" xfId="0" applyNumberFormat="1" applyFont="1" applyBorder="1" applyAlignment="1">
      <alignment horizontal="center"/>
    </xf>
    <xf numFmtId="167" fontId="15" fillId="0" borderId="23" xfId="0" applyNumberFormat="1" applyFont="1" applyBorder="1" applyAlignment="1">
      <alignment horizontal="center"/>
    </xf>
    <xf numFmtId="167" fontId="15" fillId="0" borderId="7" xfId="0" applyNumberFormat="1" applyFont="1" applyBorder="1" applyAlignment="1">
      <alignment horizontal="center"/>
    </xf>
    <xf numFmtId="0" fontId="8" fillId="2" borderId="9" xfId="0" applyFont="1" applyFill="1" applyBorder="1" applyAlignment="1">
      <alignment horizontal="center" vertical="center" textRotation="255"/>
    </xf>
    <xf numFmtId="0" fontId="8" fillId="2" borderId="10" xfId="0" applyFont="1" applyFill="1" applyBorder="1" applyAlignment="1">
      <alignment horizontal="center" vertical="center" textRotation="255"/>
    </xf>
    <xf numFmtId="0" fontId="8" fillId="2" borderId="8" xfId="0" applyFont="1" applyFill="1" applyBorder="1" applyAlignment="1">
      <alignment horizontal="center" vertical="center" textRotation="255"/>
    </xf>
    <xf numFmtId="0" fontId="8" fillId="18" borderId="6" xfId="0" applyFont="1" applyFill="1" applyBorder="1" applyAlignment="1">
      <alignment horizontal="left" vertical="top" wrapText="1"/>
    </xf>
    <xf numFmtId="0" fontId="8" fillId="18" borderId="7" xfId="0" applyFont="1" applyFill="1" applyBorder="1" applyAlignment="1">
      <alignment horizontal="left" vertical="top" wrapText="1"/>
    </xf>
    <xf numFmtId="0" fontId="9" fillId="23" borderId="1" xfId="0" applyFont="1" applyFill="1" applyBorder="1" applyAlignment="1">
      <alignment horizontal="center"/>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8" xfId="0" applyFont="1" applyBorder="1" applyAlignment="1">
      <alignment horizontal="left" vertical="center" wrapText="1"/>
    </xf>
    <xf numFmtId="0" fontId="35" fillId="0" borderId="9" xfId="0" applyFont="1" applyBorder="1" applyAlignment="1">
      <alignment vertical="center" wrapText="1"/>
    </xf>
    <xf numFmtId="0" fontId="35" fillId="0" borderId="10" xfId="0" applyFont="1" applyBorder="1" applyAlignment="1">
      <alignment vertical="center" wrapText="1"/>
    </xf>
    <xf numFmtId="0" fontId="35" fillId="0" borderId="8" xfId="0" applyFont="1" applyBorder="1" applyAlignment="1">
      <alignment vertical="center" wrapText="1"/>
    </xf>
    <xf numFmtId="0" fontId="8" fillId="5" borderId="1" xfId="0" applyFont="1" applyFill="1" applyBorder="1" applyAlignment="1">
      <alignment horizontal="center"/>
    </xf>
    <xf numFmtId="1" fontId="22" fillId="0" borderId="72" xfId="1" applyNumberFormat="1" applyFont="1" applyBorder="1" applyAlignment="1">
      <alignment horizontal="center" vertical="center" wrapText="1"/>
    </xf>
    <xf numFmtId="0" fontId="8" fillId="0" borderId="59" xfId="0" applyFont="1" applyBorder="1" applyAlignment="1">
      <alignment horizontal="center" vertical="center" wrapText="1"/>
    </xf>
    <xf numFmtId="1" fontId="22" fillId="0" borderId="73" xfId="1" applyNumberFormat="1" applyFont="1" applyBorder="1" applyAlignment="1">
      <alignment horizontal="center" vertical="center" wrapText="1"/>
    </xf>
    <xf numFmtId="0" fontId="8" fillId="0" borderId="0" xfId="0" applyFont="1" applyBorder="1"/>
    <xf numFmtId="0" fontId="8" fillId="0" borderId="0" xfId="0" applyFont="1" applyBorder="1" applyAlignment="1">
      <alignment horizontal="right"/>
    </xf>
    <xf numFmtId="0" fontId="38" fillId="0" borderId="0" xfId="0" applyFont="1" applyAlignment="1">
      <alignment horizontal="left" vertical="center" indent="1"/>
    </xf>
    <xf numFmtId="0" fontId="38" fillId="0" borderId="0" xfId="0" applyFont="1" applyBorder="1" applyAlignment="1">
      <alignment horizontal="left" vertical="center" indent="1"/>
    </xf>
    <xf numFmtId="0" fontId="10" fillId="0" borderId="0" xfId="0" applyFont="1" applyAlignment="1">
      <alignment vertical="top" wrapText="1"/>
    </xf>
    <xf numFmtId="10" fontId="8" fillId="0" borderId="0" xfId="0" applyNumberFormat="1" applyFont="1"/>
    <xf numFmtId="0" fontId="39" fillId="0" borderId="0" xfId="0" applyFont="1" applyAlignment="1">
      <alignment horizontal="center" vertical="center" readingOrder="1"/>
    </xf>
    <xf numFmtId="0" fontId="8" fillId="0" borderId="0" xfId="0" applyFont="1" applyAlignment="1">
      <alignment horizontal="center"/>
    </xf>
    <xf numFmtId="0" fontId="8" fillId="0" borderId="1" xfId="0" applyFont="1" applyFill="1" applyBorder="1"/>
    <xf numFmtId="0" fontId="15" fillId="7" borderId="1" xfId="0" applyFont="1" applyFill="1" applyBorder="1"/>
    <xf numFmtId="165" fontId="15" fillId="7" borderId="1" xfId="0" applyNumberFormat="1" applyFont="1" applyFill="1" applyBorder="1"/>
    <xf numFmtId="3" fontId="17" fillId="7" borderId="1" xfId="0" applyNumberFormat="1" applyFont="1" applyFill="1" applyBorder="1"/>
    <xf numFmtId="0" fontId="15" fillId="0" borderId="1" xfId="0" applyFont="1" applyBorder="1" applyAlignment="1" applyProtection="1">
      <alignment horizontal="left" vertical="top" wrapText="1"/>
      <protection hidden="1"/>
    </xf>
    <xf numFmtId="0" fontId="15" fillId="0" borderId="1" xfId="0" applyFont="1" applyFill="1" applyBorder="1"/>
    <xf numFmtId="165" fontId="15" fillId="0" borderId="1" xfId="0" applyNumberFormat="1" applyFont="1" applyFill="1" applyBorder="1"/>
    <xf numFmtId="3" fontId="17" fillId="0" borderId="1" xfId="0" applyNumberFormat="1" applyFont="1" applyFill="1" applyBorder="1"/>
    <xf numFmtId="165" fontId="8" fillId="0" borderId="1" xfId="0" applyNumberFormat="1" applyFont="1" applyFill="1" applyBorder="1"/>
  </cellXfs>
  <cellStyles count="8">
    <cellStyle name="Bad" xfId="7" builtinId="27"/>
    <cellStyle name="Comma 2" xfId="2" xr:uid="{7D26DBCF-D9D1-4DD2-9C39-AB921AD87FF7}"/>
    <cellStyle name="Input 2" xfId="3" xr:uid="{59559CC7-847C-4A67-A644-856213306CF5}"/>
    <cellStyle name="Merknad 2" xfId="4" xr:uid="{6AAD4D84-D1AB-4BAB-9BBA-8811DF6D621F}"/>
    <cellStyle name="Normal" xfId="0" builtinId="0"/>
    <cellStyle name="Normal 2" xfId="1" xr:uid="{778A0AE9-8800-4150-8E21-C7CB9C2D3E50}"/>
    <cellStyle name="Prosent 2" xfId="5" xr:uid="{2FBFAE3D-7322-4CCC-8626-6BA9FB046E9D}"/>
    <cellStyle name="Tusenskille 2" xfId="6" xr:uid="{C945040B-566E-4F43-B842-C743A310C00D}"/>
  </cellStyles>
  <dxfs count="170">
    <dxf>
      <border>
        <right style="thin">
          <color auto="1"/>
        </right>
        <vertical/>
        <horizontal/>
      </border>
    </dxf>
    <dxf>
      <fill>
        <patternFill>
          <bgColor theme="0"/>
        </patternFill>
      </fill>
    </dxf>
    <dxf>
      <fill>
        <patternFill>
          <bgColor rgb="FFC7F6C9"/>
        </patternFill>
      </fill>
    </dxf>
    <dxf>
      <font>
        <color rgb="FFFF0000"/>
      </font>
    </dxf>
    <dxf>
      <fill>
        <patternFill>
          <bgColor theme="4" tint="0.79998168889431442"/>
        </patternFill>
      </fill>
    </dxf>
    <dxf>
      <fill>
        <patternFill>
          <bgColor rgb="FFE1FBFF"/>
        </patternFill>
      </fill>
    </dxf>
    <dxf>
      <font>
        <color rgb="FFFF0000"/>
      </font>
    </dxf>
    <dxf>
      <fill>
        <patternFill>
          <bgColor theme="9" tint="0.79998168889431442"/>
        </patternFill>
      </fill>
    </dxf>
    <dxf>
      <fill>
        <patternFill>
          <bgColor rgb="FFE1FBFF"/>
        </patternFill>
      </fill>
    </dxf>
    <dxf>
      <font>
        <color rgb="FFFF0000"/>
      </font>
    </dxf>
    <dxf>
      <border>
        <left/>
        <right/>
        <top/>
        <bottom/>
        <vertical/>
        <horizontal/>
      </border>
    </dxf>
    <dxf>
      <font>
        <color rgb="FFFF0000"/>
      </font>
      <fill>
        <patternFill>
          <bgColor theme="0"/>
        </patternFill>
      </fill>
    </dxf>
    <dxf>
      <fill>
        <patternFill>
          <bgColor rgb="FFE1FBFF"/>
        </patternFill>
      </fill>
    </dxf>
    <dxf>
      <font>
        <color rgb="FFFF0000"/>
      </font>
    </dxf>
    <dxf>
      <fill>
        <patternFill>
          <bgColor rgb="FFE1FBFF"/>
        </patternFill>
      </fill>
    </dxf>
    <dxf>
      <font>
        <color rgb="FFFF0000"/>
      </font>
    </dxf>
    <dxf>
      <font>
        <color rgb="FFFF0000"/>
      </font>
      <fill>
        <patternFill>
          <bgColor theme="0"/>
        </patternFill>
      </fill>
    </dxf>
    <dxf>
      <fill>
        <patternFill>
          <bgColor theme="0"/>
        </patternFill>
      </fill>
    </dxf>
    <dxf>
      <fill>
        <patternFill>
          <bgColor theme="0"/>
        </patternFill>
      </fill>
    </dxf>
    <dxf>
      <font>
        <color theme="0"/>
      </font>
    </dxf>
    <dxf>
      <font>
        <color theme="0"/>
      </font>
    </dxf>
    <dxf>
      <font>
        <color theme="0"/>
      </font>
    </dxf>
    <dxf>
      <font>
        <color theme="0"/>
      </font>
    </dxf>
    <dxf>
      <font>
        <color theme="1"/>
      </font>
    </dxf>
    <dxf>
      <font>
        <color theme="0"/>
      </font>
      <fill>
        <patternFill>
          <bgColor theme="0"/>
        </patternFill>
      </fill>
    </dxf>
    <dxf>
      <font>
        <color theme="0"/>
      </font>
    </dxf>
    <dxf>
      <fill>
        <patternFill>
          <bgColor theme="0"/>
        </patternFill>
      </fill>
    </dxf>
    <dxf>
      <font>
        <color rgb="FFFF0000"/>
      </font>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border>
        <right style="thin">
          <color auto="1"/>
        </right>
        <vertical/>
        <horizontal/>
      </border>
    </dxf>
    <dxf>
      <fill>
        <patternFill>
          <bgColor theme="0"/>
        </patternFill>
      </fill>
    </dxf>
    <dxf>
      <fill>
        <patternFill>
          <bgColor rgb="FFC7F6C9"/>
        </patternFill>
      </fill>
    </dxf>
    <dxf>
      <font>
        <color rgb="FFFF0000"/>
      </font>
    </dxf>
    <dxf>
      <fill>
        <patternFill>
          <bgColor theme="4" tint="0.79998168889431442"/>
        </patternFill>
      </fill>
    </dxf>
    <dxf>
      <fill>
        <patternFill>
          <bgColor rgb="FFE1FBFF"/>
        </patternFill>
      </fill>
    </dxf>
    <dxf>
      <font>
        <color rgb="FFFF0000"/>
      </font>
    </dxf>
    <dxf>
      <fill>
        <patternFill>
          <bgColor theme="9" tint="0.79998168889431442"/>
        </patternFill>
      </fill>
    </dxf>
    <dxf>
      <fill>
        <patternFill>
          <bgColor rgb="FFE1FBFF"/>
        </patternFill>
      </fill>
    </dxf>
    <dxf>
      <font>
        <color rgb="FFFF0000"/>
      </font>
    </dxf>
    <dxf>
      <border>
        <left/>
        <right/>
        <top/>
        <bottom/>
        <vertical/>
        <horizontal/>
      </border>
    </dxf>
    <dxf>
      <font>
        <color rgb="FFFF0000"/>
      </font>
      <fill>
        <patternFill>
          <bgColor theme="0"/>
        </patternFill>
      </fill>
    </dxf>
    <dxf>
      <fill>
        <patternFill>
          <bgColor rgb="FFE1FBFF"/>
        </patternFill>
      </fill>
    </dxf>
    <dxf>
      <font>
        <color rgb="FFFF0000"/>
      </font>
    </dxf>
    <dxf>
      <fill>
        <patternFill>
          <bgColor rgb="FFE1FBFF"/>
        </patternFill>
      </fill>
    </dxf>
    <dxf>
      <font>
        <color rgb="FFFF0000"/>
      </font>
    </dxf>
    <dxf>
      <font>
        <color rgb="FFFF0000"/>
      </font>
      <fill>
        <patternFill>
          <bgColor theme="0"/>
        </patternFill>
      </fill>
    </dxf>
    <dxf>
      <fill>
        <patternFill>
          <bgColor theme="0"/>
        </patternFill>
      </fill>
    </dxf>
    <dxf>
      <fill>
        <patternFill>
          <bgColor theme="0"/>
        </patternFill>
      </fill>
    </dxf>
    <dxf>
      <font>
        <color theme="0"/>
      </font>
    </dxf>
    <dxf>
      <font>
        <color theme="0"/>
      </font>
    </dxf>
    <dxf>
      <font>
        <color theme="0"/>
      </font>
    </dxf>
    <dxf>
      <font>
        <color theme="0"/>
      </font>
    </dxf>
    <dxf>
      <font>
        <color theme="1"/>
      </font>
    </dxf>
    <dxf>
      <font>
        <color theme="0"/>
      </font>
      <fill>
        <patternFill>
          <bgColor theme="0"/>
        </patternFill>
      </fill>
    </dxf>
    <dxf>
      <font>
        <color theme="0"/>
      </font>
    </dxf>
    <dxf>
      <fill>
        <patternFill>
          <bgColor theme="0"/>
        </patternFill>
      </fill>
    </dxf>
    <dxf>
      <font>
        <color rgb="FFFF0000"/>
      </font>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border>
        <right style="thin">
          <color auto="1"/>
        </right>
        <vertical/>
        <horizontal/>
      </border>
    </dxf>
    <dxf>
      <fill>
        <patternFill>
          <bgColor theme="0"/>
        </patternFill>
      </fill>
    </dxf>
    <dxf>
      <fill>
        <patternFill>
          <bgColor rgb="FFC7F6C9"/>
        </patternFill>
      </fill>
    </dxf>
    <dxf>
      <font>
        <color rgb="FFFF0000"/>
      </font>
    </dxf>
    <dxf>
      <fill>
        <patternFill>
          <bgColor theme="4" tint="0.79998168889431442"/>
        </patternFill>
      </fill>
    </dxf>
    <dxf>
      <fill>
        <patternFill>
          <bgColor rgb="FFE1FBFF"/>
        </patternFill>
      </fill>
    </dxf>
    <dxf>
      <font>
        <color rgb="FFFF0000"/>
      </font>
    </dxf>
    <dxf>
      <fill>
        <patternFill>
          <bgColor theme="9" tint="0.79998168889431442"/>
        </patternFill>
      </fill>
    </dxf>
    <dxf>
      <fill>
        <patternFill>
          <bgColor rgb="FFE1FBFF"/>
        </patternFill>
      </fill>
    </dxf>
    <dxf>
      <font>
        <color rgb="FFFF0000"/>
      </font>
    </dxf>
    <dxf>
      <border>
        <left/>
        <right/>
        <top/>
        <bottom/>
        <vertical/>
        <horizontal/>
      </border>
    </dxf>
    <dxf>
      <font>
        <color rgb="FFFF0000"/>
      </font>
      <fill>
        <patternFill>
          <bgColor theme="0"/>
        </patternFill>
      </fill>
    </dxf>
    <dxf>
      <fill>
        <patternFill>
          <bgColor rgb="FFE1FBFF"/>
        </patternFill>
      </fill>
    </dxf>
    <dxf>
      <font>
        <color rgb="FFFF0000"/>
      </font>
    </dxf>
    <dxf>
      <fill>
        <patternFill>
          <bgColor rgb="FFE1FBFF"/>
        </patternFill>
      </fill>
    </dxf>
    <dxf>
      <font>
        <color rgb="FFFF0000"/>
      </font>
    </dxf>
    <dxf>
      <font>
        <color rgb="FFFF0000"/>
      </font>
      <fill>
        <patternFill>
          <bgColor theme="0"/>
        </patternFill>
      </fill>
    </dxf>
    <dxf>
      <fill>
        <patternFill>
          <bgColor theme="0"/>
        </patternFill>
      </fill>
    </dxf>
    <dxf>
      <fill>
        <patternFill>
          <bgColor theme="0"/>
        </patternFill>
      </fill>
    </dxf>
    <dxf>
      <font>
        <color theme="0"/>
      </font>
    </dxf>
    <dxf>
      <font>
        <color theme="0"/>
      </font>
    </dxf>
    <dxf>
      <font>
        <color theme="0"/>
      </font>
    </dxf>
    <dxf>
      <font>
        <color theme="0"/>
      </font>
    </dxf>
    <dxf>
      <font>
        <color theme="1"/>
      </font>
    </dxf>
    <dxf>
      <font>
        <color theme="0"/>
      </font>
      <fill>
        <patternFill>
          <bgColor theme="0"/>
        </patternFill>
      </fill>
    </dxf>
    <dxf>
      <font>
        <color theme="0"/>
      </font>
    </dxf>
    <dxf>
      <fill>
        <patternFill>
          <bgColor theme="0"/>
        </patternFill>
      </fill>
    </dxf>
    <dxf>
      <font>
        <color rgb="FFFF0000"/>
      </font>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border>
        <right style="thin">
          <color auto="1"/>
        </right>
        <vertical/>
        <horizontal/>
      </border>
    </dxf>
    <dxf>
      <fill>
        <patternFill>
          <bgColor theme="0"/>
        </patternFill>
      </fill>
    </dxf>
    <dxf>
      <fill>
        <patternFill>
          <bgColor rgb="FFC7F6C9"/>
        </patternFill>
      </fill>
    </dxf>
    <dxf>
      <font>
        <color rgb="FFFF0000"/>
      </font>
    </dxf>
    <dxf>
      <fill>
        <patternFill>
          <bgColor theme="4" tint="0.79998168889431442"/>
        </patternFill>
      </fill>
    </dxf>
    <dxf>
      <fill>
        <patternFill>
          <bgColor rgb="FFE1FBFF"/>
        </patternFill>
      </fill>
    </dxf>
    <dxf>
      <font>
        <color rgb="FFFF0000"/>
      </font>
    </dxf>
    <dxf>
      <fill>
        <patternFill>
          <bgColor theme="9" tint="0.79998168889431442"/>
        </patternFill>
      </fill>
    </dxf>
    <dxf>
      <fill>
        <patternFill>
          <bgColor rgb="FFE1FBFF"/>
        </patternFill>
      </fill>
    </dxf>
    <dxf>
      <font>
        <color rgb="FFFF0000"/>
      </font>
    </dxf>
    <dxf>
      <border>
        <left/>
        <right/>
        <top/>
        <bottom/>
        <vertical/>
        <horizontal/>
      </border>
    </dxf>
    <dxf>
      <font>
        <color rgb="FFFF0000"/>
      </font>
      <fill>
        <patternFill>
          <bgColor theme="0"/>
        </patternFill>
      </fill>
    </dxf>
    <dxf>
      <fill>
        <patternFill>
          <bgColor rgb="FFE1FBFF"/>
        </patternFill>
      </fill>
    </dxf>
    <dxf>
      <font>
        <color rgb="FFFF0000"/>
      </font>
    </dxf>
    <dxf>
      <fill>
        <patternFill>
          <bgColor rgb="FFE1FBFF"/>
        </patternFill>
      </fill>
    </dxf>
    <dxf>
      <font>
        <color rgb="FFFF0000"/>
      </font>
    </dxf>
    <dxf>
      <font>
        <color rgb="FFFF0000"/>
      </font>
      <fill>
        <patternFill>
          <bgColor theme="0"/>
        </patternFill>
      </fill>
    </dxf>
    <dxf>
      <fill>
        <patternFill>
          <bgColor theme="0"/>
        </patternFill>
      </fill>
    </dxf>
    <dxf>
      <fill>
        <patternFill>
          <bgColor theme="0"/>
        </patternFill>
      </fill>
    </dxf>
    <dxf>
      <font>
        <color theme="0"/>
      </font>
    </dxf>
    <dxf>
      <font>
        <color theme="0"/>
      </font>
    </dxf>
    <dxf>
      <font>
        <color theme="0"/>
      </font>
    </dxf>
    <dxf>
      <font>
        <color theme="1"/>
      </font>
    </dxf>
    <dxf>
      <font>
        <color theme="0"/>
      </font>
    </dxf>
    <dxf>
      <font>
        <color theme="1"/>
      </font>
    </dxf>
    <dxf>
      <font>
        <color theme="0"/>
      </font>
      <fill>
        <patternFill>
          <bgColor theme="0"/>
        </patternFill>
      </fill>
    </dxf>
    <dxf>
      <font>
        <color theme="0"/>
      </font>
    </dxf>
    <dxf>
      <fill>
        <patternFill>
          <bgColor theme="0"/>
        </patternFill>
      </fill>
    </dxf>
    <dxf>
      <font>
        <color rgb="FFFF0000"/>
      </font>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border>
        <right style="thin">
          <color auto="1"/>
        </right>
        <vertical/>
        <horizontal/>
      </border>
    </dxf>
    <dxf>
      <fill>
        <patternFill>
          <bgColor theme="0"/>
        </patternFill>
      </fill>
    </dxf>
    <dxf>
      <fill>
        <patternFill>
          <bgColor rgb="FFC7F6C9"/>
        </patternFill>
      </fill>
    </dxf>
    <dxf>
      <font>
        <color rgb="FFFF0000"/>
      </font>
    </dxf>
    <dxf>
      <fill>
        <patternFill>
          <bgColor theme="4" tint="0.79998168889431442"/>
        </patternFill>
      </fill>
    </dxf>
    <dxf>
      <fill>
        <patternFill>
          <bgColor rgb="FFE1FBFF"/>
        </patternFill>
      </fill>
    </dxf>
    <dxf>
      <font>
        <color rgb="FFFF0000"/>
      </font>
    </dxf>
    <dxf>
      <fill>
        <patternFill>
          <bgColor theme="9" tint="0.79998168889431442"/>
        </patternFill>
      </fill>
    </dxf>
    <dxf>
      <fill>
        <patternFill>
          <bgColor rgb="FFE1FBFF"/>
        </patternFill>
      </fill>
    </dxf>
    <dxf>
      <font>
        <color rgb="FFFF0000"/>
      </font>
    </dxf>
    <dxf>
      <border>
        <left/>
        <right/>
        <top/>
        <bottom/>
        <vertical/>
        <horizontal/>
      </border>
    </dxf>
    <dxf>
      <font>
        <color rgb="FFFF0000"/>
      </font>
      <fill>
        <patternFill>
          <bgColor theme="0"/>
        </patternFill>
      </fill>
    </dxf>
    <dxf>
      <fill>
        <patternFill>
          <bgColor rgb="FFE1FBFF"/>
        </patternFill>
      </fill>
    </dxf>
    <dxf>
      <font>
        <color rgb="FFFF0000"/>
      </font>
    </dxf>
    <dxf>
      <fill>
        <patternFill>
          <bgColor rgb="FFE1FBFF"/>
        </patternFill>
      </fill>
    </dxf>
    <dxf>
      <font>
        <color rgb="FFFF0000"/>
      </font>
    </dxf>
    <dxf>
      <font>
        <color rgb="FFFF0000"/>
      </font>
      <fill>
        <patternFill>
          <bgColor theme="0"/>
        </patternFill>
      </fill>
    </dxf>
    <dxf>
      <fill>
        <patternFill>
          <bgColor theme="0"/>
        </patternFill>
      </fill>
    </dxf>
    <dxf>
      <fill>
        <patternFill>
          <bgColor theme="0"/>
        </patternFill>
      </fill>
    </dxf>
    <dxf>
      <font>
        <color theme="0"/>
      </font>
    </dxf>
    <dxf>
      <font>
        <color theme="0"/>
      </font>
    </dxf>
    <dxf>
      <font>
        <color theme="0"/>
      </font>
    </dxf>
    <dxf>
      <font>
        <color theme="0"/>
      </font>
    </dxf>
    <dxf>
      <font>
        <color theme="1"/>
      </font>
    </dxf>
    <dxf>
      <font>
        <color theme="0"/>
      </font>
      <fill>
        <patternFill>
          <bgColor theme="0"/>
        </patternFill>
      </fill>
    </dxf>
    <dxf>
      <font>
        <color theme="0"/>
      </font>
    </dxf>
    <dxf>
      <fill>
        <patternFill>
          <bgColor theme="0"/>
        </patternFill>
      </fill>
    </dxf>
    <dxf>
      <font>
        <color rgb="FFFF0000"/>
      </font>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border>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right style="thin">
          <color auto="1"/>
        </right>
        <vertical/>
        <horizontal/>
      </border>
    </dxf>
    <dxf>
      <border>
        <right style="thin">
          <color auto="1"/>
        </right>
        <vertical/>
        <horizontal/>
      </border>
    </dxf>
    <dxf>
      <font>
        <color theme="0"/>
      </font>
      <fill>
        <patternFill>
          <bgColor theme="0"/>
        </patternFill>
      </fill>
      <border>
        <left/>
        <right/>
        <top/>
        <bottom/>
        <vertical/>
        <horizontal/>
      </border>
    </dxf>
    <dxf>
      <border>
        <right style="thin">
          <color auto="1"/>
        </right>
        <vertical/>
        <horizontal/>
      </border>
    </dxf>
    <dxf>
      <font>
        <color theme="0"/>
      </font>
      <fill>
        <patternFill>
          <bgColor theme="0"/>
        </patternFill>
      </fill>
      <border>
        <left/>
        <right/>
        <top/>
        <bottom/>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B0DAB2"/>
      <color rgb="FF67CDDE"/>
      <color rgb="FFE47E73"/>
      <color rgb="FFDDAF5E"/>
      <color rgb="FF44DCA1"/>
      <color rgb="FFE1FBFF"/>
      <color rgb="FF65E76B"/>
      <color rgb="FFFFE7E3"/>
      <color rgb="FFFDE9C4"/>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Resultat!$X$14</c:f>
          <c:strCache>
            <c:ptCount val="1"/>
            <c:pt idx="0">
              <c:v>Resultat, tonn CO2 ekv, 50 år</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Oslo Sans" panose="02000000000000000000" pitchFamily="2" charset="0"/>
              <a:ea typeface="+mn-ea"/>
              <a:cs typeface="+mn-cs"/>
            </a:defRPr>
          </a:pPr>
          <a:endParaRPr lang="nb-NO"/>
        </a:p>
      </c:txPr>
    </c:title>
    <c:autoTitleDeleted val="0"/>
    <c:plotArea>
      <c:layout/>
      <c:barChart>
        <c:barDir val="col"/>
        <c:grouping val="stacked"/>
        <c:varyColors val="0"/>
        <c:ser>
          <c:idx val="0"/>
          <c:order val="0"/>
          <c:tx>
            <c:strRef>
              <c:f>Resultat!$X$16</c:f>
              <c:strCache>
                <c:ptCount val="1"/>
                <c:pt idx="0">
                  <c:v>Riving (eksisterende bygg)</c:v>
                </c:pt>
              </c:strCache>
            </c:strRef>
          </c:tx>
          <c:spPr>
            <a:solidFill>
              <a:schemeClr val="accent1"/>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Resultat!$Y$16:$AC$16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DCF1-471D-B670-0DC72B92C113}"/>
            </c:ext>
          </c:extLst>
        </c:ser>
        <c:ser>
          <c:idx val="1"/>
          <c:order val="1"/>
          <c:tx>
            <c:strRef>
              <c:f>Resultat!$X$17</c:f>
              <c:strCache>
                <c:ptCount val="1"/>
                <c:pt idx="0">
                  <c:v>Materialer (produksjon, transport, utskifting)</c:v>
                </c:pt>
              </c:strCache>
            </c:strRef>
          </c:tx>
          <c:spPr>
            <a:solidFill>
              <a:schemeClr val="accent2"/>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Resultat!$Y$17:$AC$17</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1-DCF1-471D-B670-0DC72B92C113}"/>
            </c:ext>
          </c:extLst>
        </c:ser>
        <c:ser>
          <c:idx val="2"/>
          <c:order val="2"/>
          <c:tx>
            <c:strRef>
              <c:f>Resultat!$X$18</c:f>
              <c:strCache>
                <c:ptCount val="1"/>
                <c:pt idx="0">
                  <c:v>Byggeplass (kapp, svinn, avfall, energi og massetransport)</c:v>
                </c:pt>
              </c:strCache>
            </c:strRef>
          </c:tx>
          <c:spPr>
            <a:solidFill>
              <a:schemeClr val="accent3"/>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Resultat!$Y$18:$AC$18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2-DCF1-471D-B670-0DC72B92C113}"/>
            </c:ext>
          </c:extLst>
        </c:ser>
        <c:ser>
          <c:idx val="3"/>
          <c:order val="3"/>
          <c:tx>
            <c:strRef>
              <c:f>Resultat!$X$19</c:f>
              <c:strCache>
                <c:ptCount val="1"/>
                <c:pt idx="0">
                  <c:v>Energibruk i drift</c:v>
                </c:pt>
              </c:strCache>
            </c:strRef>
          </c:tx>
          <c:spPr>
            <a:solidFill>
              <a:schemeClr val="accent4"/>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Resultat!$Y$19:$AC$19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3-DCF1-471D-B670-0DC72B92C113}"/>
            </c:ext>
          </c:extLst>
        </c:ser>
        <c:ser>
          <c:idx val="4"/>
          <c:order val="4"/>
          <c:tx>
            <c:strRef>
              <c:f>Resultat!$X$20</c:f>
              <c:strCache>
                <c:ptCount val="1"/>
                <c:pt idx="0">
                  <c:v>Arealbruksendring (nedbygging og nyetablering)</c:v>
                </c:pt>
              </c:strCache>
            </c:strRef>
          </c:tx>
          <c:spPr>
            <a:solidFill>
              <a:schemeClr val="accent5"/>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Resultat!$Y$20:$AC$20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4-DCF1-471D-B670-0DC72B92C113}"/>
            </c:ext>
          </c:extLst>
        </c:ser>
        <c:ser>
          <c:idx val="5"/>
          <c:order val="5"/>
          <c:tx>
            <c:strRef>
              <c:f>Resultat!$X$21</c:f>
              <c:strCache>
                <c:ptCount val="1"/>
                <c:pt idx="0">
                  <c:v>Riving (bygg i fremtiden)</c:v>
                </c:pt>
              </c:strCache>
            </c:strRef>
          </c:tx>
          <c:spPr>
            <a:solidFill>
              <a:schemeClr val="accent6"/>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Resultat!$Y$21:$AC$21</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5-DCF1-471D-B670-0DC72B92C113}"/>
            </c:ext>
          </c:extLst>
        </c:ser>
        <c:dLbls>
          <c:showLegendKey val="0"/>
          <c:showVal val="0"/>
          <c:showCatName val="0"/>
          <c:showSerName val="0"/>
          <c:showPercent val="0"/>
          <c:showBubbleSize val="0"/>
        </c:dLbls>
        <c:gapWidth val="150"/>
        <c:overlap val="100"/>
        <c:axId val="379910655"/>
        <c:axId val="379901535"/>
      </c:barChart>
      <c:catAx>
        <c:axId val="379910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crossAx val="379901535"/>
        <c:crosses val="autoZero"/>
        <c:auto val="1"/>
        <c:lblAlgn val="ctr"/>
        <c:lblOffset val="100"/>
        <c:noMultiLvlLbl val="0"/>
      </c:catAx>
      <c:valAx>
        <c:axId val="3799015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Oslo Sans" panose="02000000000000000000" pitchFamily="2" charset="0"/>
                    <a:ea typeface="+mn-ea"/>
                    <a:cs typeface="+mn-cs"/>
                  </a:defRPr>
                </a:pPr>
                <a:r>
                  <a:rPr lang="nb-NO" sz="1000" b="0" i="0" u="none" strike="noStrike" kern="1200" baseline="0">
                    <a:solidFill>
                      <a:sysClr val="windowText" lastClr="000000">
                        <a:lumMod val="65000"/>
                        <a:lumOff val="35000"/>
                      </a:sysClr>
                    </a:solidFill>
                    <a:latin typeface="Oslo Sans" panose="02000000000000000000" pitchFamily="2" charset="0"/>
                  </a:rPr>
                  <a:t>tonn CO2-ekv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crossAx val="379910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Resultat!$X$25</c:f>
          <c:strCache>
            <c:ptCount val="1"/>
            <c:pt idx="0">
              <c:v>Resultat, kg CO2 ekv, 50 år, pr m2 oppvarmet BRA</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Oslo Sans" panose="02000000000000000000" pitchFamily="2" charset="0"/>
              <a:ea typeface="+mn-ea"/>
              <a:cs typeface="+mn-cs"/>
            </a:defRPr>
          </a:pPr>
          <a:endParaRPr lang="nb-NO"/>
        </a:p>
      </c:txPr>
    </c:title>
    <c:autoTitleDeleted val="0"/>
    <c:plotArea>
      <c:layout/>
      <c:barChart>
        <c:barDir val="col"/>
        <c:grouping val="stacked"/>
        <c:varyColors val="0"/>
        <c:ser>
          <c:idx val="0"/>
          <c:order val="0"/>
          <c:tx>
            <c:strRef>
              <c:f>Resultat!$X$27</c:f>
              <c:strCache>
                <c:ptCount val="1"/>
                <c:pt idx="0">
                  <c:v>Riving (eksisterende bygg)</c:v>
                </c:pt>
              </c:strCache>
            </c:strRef>
          </c:tx>
          <c:spPr>
            <a:solidFill>
              <a:schemeClr val="accent1"/>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Resultat!$Y$27:$AC$27</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D9F5-4D90-9CE6-484C78D95CEF}"/>
            </c:ext>
          </c:extLst>
        </c:ser>
        <c:ser>
          <c:idx val="1"/>
          <c:order val="1"/>
          <c:tx>
            <c:strRef>
              <c:f>Resultat!$X$28</c:f>
              <c:strCache>
                <c:ptCount val="1"/>
                <c:pt idx="0">
                  <c:v>Materialer (produksjon, transport, utskifting)</c:v>
                </c:pt>
              </c:strCache>
            </c:strRef>
          </c:tx>
          <c:spPr>
            <a:solidFill>
              <a:schemeClr val="accent2"/>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Resultat!$Y$28:$AC$28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1-D9F5-4D90-9CE6-484C78D95CEF}"/>
            </c:ext>
          </c:extLst>
        </c:ser>
        <c:ser>
          <c:idx val="2"/>
          <c:order val="2"/>
          <c:tx>
            <c:strRef>
              <c:f>Resultat!$X$29</c:f>
              <c:strCache>
                <c:ptCount val="1"/>
                <c:pt idx="0">
                  <c:v>Byggeplass (kapp, svinn, avfall, energi og massetransport)</c:v>
                </c:pt>
              </c:strCache>
            </c:strRef>
          </c:tx>
          <c:spPr>
            <a:solidFill>
              <a:schemeClr val="accent3"/>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Resultat!$Y$29:$AC$29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2-D9F5-4D90-9CE6-484C78D95CEF}"/>
            </c:ext>
          </c:extLst>
        </c:ser>
        <c:ser>
          <c:idx val="3"/>
          <c:order val="3"/>
          <c:tx>
            <c:strRef>
              <c:f>Resultat!$X$30</c:f>
              <c:strCache>
                <c:ptCount val="1"/>
                <c:pt idx="0">
                  <c:v>Energibruk i drift</c:v>
                </c:pt>
              </c:strCache>
            </c:strRef>
          </c:tx>
          <c:spPr>
            <a:solidFill>
              <a:schemeClr val="accent4"/>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Resultat!$Y$30:$AC$30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3-D9F5-4D90-9CE6-484C78D95CEF}"/>
            </c:ext>
          </c:extLst>
        </c:ser>
        <c:ser>
          <c:idx val="4"/>
          <c:order val="4"/>
          <c:tx>
            <c:strRef>
              <c:f>Resultat!$X$31</c:f>
              <c:strCache>
                <c:ptCount val="1"/>
                <c:pt idx="0">
                  <c:v>Arealbruksendring (nedbygging og nyetablering)</c:v>
                </c:pt>
              </c:strCache>
            </c:strRef>
          </c:tx>
          <c:spPr>
            <a:solidFill>
              <a:schemeClr val="accent5"/>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Resultat!$Y$31:$AC$31</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4-D9F5-4D90-9CE6-484C78D95CEF}"/>
            </c:ext>
          </c:extLst>
        </c:ser>
        <c:ser>
          <c:idx val="5"/>
          <c:order val="5"/>
          <c:tx>
            <c:strRef>
              <c:f>Resultat!$X$32</c:f>
              <c:strCache>
                <c:ptCount val="1"/>
                <c:pt idx="0">
                  <c:v>Riving (bygg i fremtiden)</c:v>
                </c:pt>
              </c:strCache>
            </c:strRef>
          </c:tx>
          <c:spPr>
            <a:solidFill>
              <a:schemeClr val="accent6"/>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Resultat!$Y$32:$AC$32</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5-D9F5-4D90-9CE6-484C78D95CEF}"/>
            </c:ext>
          </c:extLst>
        </c:ser>
        <c:dLbls>
          <c:showLegendKey val="0"/>
          <c:showVal val="0"/>
          <c:showCatName val="0"/>
          <c:showSerName val="0"/>
          <c:showPercent val="0"/>
          <c:showBubbleSize val="0"/>
        </c:dLbls>
        <c:gapWidth val="150"/>
        <c:overlap val="100"/>
        <c:axId val="379910655"/>
        <c:axId val="379901535"/>
      </c:barChart>
      <c:catAx>
        <c:axId val="379910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crossAx val="379901535"/>
        <c:crosses val="autoZero"/>
        <c:auto val="1"/>
        <c:lblAlgn val="ctr"/>
        <c:lblOffset val="100"/>
        <c:noMultiLvlLbl val="0"/>
      </c:catAx>
      <c:valAx>
        <c:axId val="3799015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Oslo Sans" panose="02000000000000000000" pitchFamily="2" charset="0"/>
                    <a:ea typeface="+mn-ea"/>
                    <a:cs typeface="+mn-cs"/>
                  </a:defRPr>
                </a:pPr>
                <a:r>
                  <a:rPr lang="nb-NO" sz="1000" b="0" i="0" u="none" strike="noStrike" kern="1200" baseline="0">
                    <a:solidFill>
                      <a:sysClr val="windowText" lastClr="000000">
                        <a:lumMod val="65000"/>
                        <a:lumOff val="35000"/>
                      </a:sysClr>
                    </a:solidFill>
                  </a:rPr>
                  <a:t>kg CO2 ekv/m2 oppvarmet BRA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crossAx val="379910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Resultat!$X$42</c:f>
          <c:strCache>
            <c:ptCount val="1"/>
            <c:pt idx="0">
              <c:v>Resultat, tonn CO2 ekv, 50 år, pr bruker</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Oslo Sans" panose="02000000000000000000" pitchFamily="2" charset="0"/>
              <a:ea typeface="+mn-ea"/>
              <a:cs typeface="+mn-cs"/>
            </a:defRPr>
          </a:pPr>
          <a:endParaRPr lang="nb-NO"/>
        </a:p>
      </c:txPr>
    </c:title>
    <c:autoTitleDeleted val="0"/>
    <c:plotArea>
      <c:layout/>
      <c:barChart>
        <c:barDir val="col"/>
        <c:grouping val="stacked"/>
        <c:varyColors val="0"/>
        <c:ser>
          <c:idx val="0"/>
          <c:order val="0"/>
          <c:tx>
            <c:strRef>
              <c:f>Resultat!$X$44</c:f>
              <c:strCache>
                <c:ptCount val="1"/>
                <c:pt idx="0">
                  <c:v>Riving (eksisterende bygg)</c:v>
                </c:pt>
              </c:strCache>
            </c:strRef>
          </c:tx>
          <c:spPr>
            <a:solidFill>
              <a:schemeClr val="accent1"/>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Resultat!$Y$44:$AC$44</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9C5-4E4F-B665-41741A334B66}"/>
            </c:ext>
          </c:extLst>
        </c:ser>
        <c:ser>
          <c:idx val="1"/>
          <c:order val="1"/>
          <c:tx>
            <c:strRef>
              <c:f>Resultat!$X$45</c:f>
              <c:strCache>
                <c:ptCount val="1"/>
                <c:pt idx="0">
                  <c:v>Materialer (produksjon, transport, utskifting)</c:v>
                </c:pt>
              </c:strCache>
            </c:strRef>
          </c:tx>
          <c:spPr>
            <a:solidFill>
              <a:schemeClr val="accent2"/>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Resultat!$Y$45:$AC$45</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1-79C5-4E4F-B665-41741A334B66}"/>
            </c:ext>
          </c:extLst>
        </c:ser>
        <c:ser>
          <c:idx val="2"/>
          <c:order val="2"/>
          <c:tx>
            <c:strRef>
              <c:f>Resultat!$X$46</c:f>
              <c:strCache>
                <c:ptCount val="1"/>
                <c:pt idx="0">
                  <c:v>Byggeplass (kapp, svinn, avfall, energi og massetransport)</c:v>
                </c:pt>
              </c:strCache>
            </c:strRef>
          </c:tx>
          <c:spPr>
            <a:solidFill>
              <a:schemeClr val="accent3"/>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Resultat!$Y$46:$AC$46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2-79C5-4E4F-B665-41741A334B66}"/>
            </c:ext>
          </c:extLst>
        </c:ser>
        <c:ser>
          <c:idx val="3"/>
          <c:order val="3"/>
          <c:tx>
            <c:strRef>
              <c:f>Resultat!$X$47</c:f>
              <c:strCache>
                <c:ptCount val="1"/>
                <c:pt idx="0">
                  <c:v>Energibruk i drift</c:v>
                </c:pt>
              </c:strCache>
            </c:strRef>
          </c:tx>
          <c:spPr>
            <a:solidFill>
              <a:schemeClr val="accent4"/>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Resultat!$Y$47:$AC$47</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3-79C5-4E4F-B665-41741A334B66}"/>
            </c:ext>
          </c:extLst>
        </c:ser>
        <c:ser>
          <c:idx val="4"/>
          <c:order val="4"/>
          <c:tx>
            <c:strRef>
              <c:f>Resultat!$X$48</c:f>
              <c:strCache>
                <c:ptCount val="1"/>
                <c:pt idx="0">
                  <c:v>Arealbruksendring (nedbygging og nyetablering)</c:v>
                </c:pt>
              </c:strCache>
            </c:strRef>
          </c:tx>
          <c:spPr>
            <a:solidFill>
              <a:schemeClr val="accent5"/>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Resultat!$Y$48:$AC$48</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4-79C5-4E4F-B665-41741A334B66}"/>
            </c:ext>
          </c:extLst>
        </c:ser>
        <c:ser>
          <c:idx val="5"/>
          <c:order val="5"/>
          <c:tx>
            <c:strRef>
              <c:f>Resultat!$X$49</c:f>
              <c:strCache>
                <c:ptCount val="1"/>
                <c:pt idx="0">
                  <c:v>Riving (bygg i fremtiden)</c:v>
                </c:pt>
              </c:strCache>
            </c:strRef>
          </c:tx>
          <c:spPr>
            <a:solidFill>
              <a:schemeClr val="accent6"/>
            </a:solidFill>
            <a:ln>
              <a:noFill/>
            </a:ln>
            <a:effectLst/>
          </c:spPr>
          <c:invertIfNegative val="0"/>
          <c:cat>
            <c:strRef>
              <c:f>Resultat!$Y$15:$AC$15</c:f>
              <c:strCache>
                <c:ptCount val="5"/>
                <c:pt idx="0">
                  <c:v>Alternativ 1</c:v>
                </c:pt>
                <c:pt idx="1">
                  <c:v>Alternativ 2</c:v>
                </c:pt>
                <c:pt idx="2">
                  <c:v>Alternativ 3</c:v>
                </c:pt>
                <c:pt idx="3">
                  <c:v>Alternativ 4</c:v>
                </c:pt>
                <c:pt idx="4">
                  <c:v>Alternativ 5</c:v>
                </c:pt>
              </c:strCache>
            </c:strRef>
          </c:cat>
          <c:val>
            <c:numRef>
              <c:f>Resultat!$Y$49:$AC$49</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5-79C5-4E4F-B665-41741A334B66}"/>
            </c:ext>
          </c:extLst>
        </c:ser>
        <c:dLbls>
          <c:showLegendKey val="0"/>
          <c:showVal val="0"/>
          <c:showCatName val="0"/>
          <c:showSerName val="0"/>
          <c:showPercent val="0"/>
          <c:showBubbleSize val="0"/>
        </c:dLbls>
        <c:gapWidth val="150"/>
        <c:overlap val="100"/>
        <c:axId val="379910655"/>
        <c:axId val="379901535"/>
      </c:barChart>
      <c:catAx>
        <c:axId val="379910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crossAx val="379901535"/>
        <c:crosses val="autoZero"/>
        <c:auto val="1"/>
        <c:lblAlgn val="ctr"/>
        <c:lblOffset val="100"/>
        <c:noMultiLvlLbl val="0"/>
      </c:catAx>
      <c:valAx>
        <c:axId val="3799015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Oslo Sans" panose="02000000000000000000" pitchFamily="2" charset="0"/>
                    <a:ea typeface="+mn-ea"/>
                    <a:cs typeface="+mn-cs"/>
                  </a:defRPr>
                </a:pPr>
                <a:r>
                  <a:rPr lang="nb-NO" sz="1000" b="0" i="0" u="none" strike="noStrike" kern="1200" baseline="0">
                    <a:solidFill>
                      <a:sysClr val="windowText" lastClr="000000">
                        <a:lumMod val="65000"/>
                        <a:lumOff val="35000"/>
                      </a:sysClr>
                    </a:solidFill>
                  </a:rPr>
                  <a:t>tonn CO2 ekv/bruker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crossAx val="379910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Oslo Sans" panose="02000000000000000000" pitchFamily="2" charset="0"/>
                <a:ea typeface="+mn-ea"/>
                <a:cs typeface="+mn-cs"/>
              </a:defRPr>
            </a:pPr>
            <a:r>
              <a:rPr lang="nb-NO"/>
              <a:t>Materialbruk: A1-A3, A4, B2</a:t>
            </a:r>
            <a:r>
              <a:rPr lang="nb-NO" baseline="0"/>
              <a:t> og</a:t>
            </a:r>
            <a:r>
              <a:rPr lang="nb-NO"/>
              <a:t> B4 ift. referanse for alternativ</a:t>
            </a:r>
            <a:r>
              <a:rPr lang="nb-NO" baseline="0"/>
              <a:t> med størst utbygging i areal. kg CO2 ekv/m2 BTA (energibruk i drift, B6, er ikke inkludert i figuren)</a:t>
            </a:r>
            <a:endParaRPr lang="nb-NO"/>
          </a:p>
          <a:p>
            <a:pPr>
              <a:defRPr sz="1400" b="0" i="0" u="none" strike="noStrike" kern="1200" spc="0" baseline="0">
                <a:solidFill>
                  <a:schemeClr val="tx1">
                    <a:lumMod val="65000"/>
                    <a:lumOff val="35000"/>
                  </a:schemeClr>
                </a:solidFill>
                <a:latin typeface="Oslo Sans" panose="02000000000000000000" pitchFamily="2" charset="0"/>
                <a:ea typeface="+mn-ea"/>
                <a:cs typeface="+mn-cs"/>
              </a:defRPr>
            </a:pPr>
            <a:endParaRPr lang="nb-NO"/>
          </a:p>
        </c:rich>
      </c:tx>
      <c:overlay val="0"/>
      <c:spPr>
        <a:noFill/>
        <a:ln>
          <a:noFill/>
        </a:ln>
        <a:effectLst/>
      </c:spPr>
    </c:title>
    <c:autoTitleDeleted val="0"/>
    <c:plotArea>
      <c:layout/>
      <c:lineChart>
        <c:grouping val="standard"/>
        <c:varyColors val="0"/>
        <c:ser>
          <c:idx val="0"/>
          <c:order val="0"/>
          <c:tx>
            <c:strRef>
              <c:f>Resultat!$Y$72:$Y$72</c:f>
              <c:strCache>
                <c:ptCount val="1"/>
                <c:pt idx="0">
                  <c:v>Referansebane</c:v>
                </c:pt>
              </c:strCache>
            </c:strRef>
          </c:tx>
          <c:spPr>
            <a:effectLst/>
          </c:spPr>
          <c:marker>
            <c:symbol val="none"/>
          </c:marker>
          <c:cat>
            <c:numRef>
              <c:f>Resultat!$X$73:$X$103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Resultat!$Y$73:$Y$103</c:f>
              <c:numCache>
                <c:formatCode>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9-F65F-440D-863A-3D7011F0B1DE}"/>
            </c:ext>
          </c:extLst>
        </c:ser>
        <c:dLbls>
          <c:showLegendKey val="0"/>
          <c:showVal val="0"/>
          <c:showCatName val="0"/>
          <c:showSerName val="0"/>
          <c:showPercent val="0"/>
          <c:showBubbleSize val="0"/>
        </c:dLbls>
        <c:marker val="1"/>
        <c:smooth val="0"/>
        <c:axId val="379910655"/>
        <c:axId val="379901535"/>
      </c:lineChart>
      <c:scatterChart>
        <c:scatterStyle val="lineMarker"/>
        <c:varyColors val="0"/>
        <c:ser>
          <c:idx val="1"/>
          <c:order val="1"/>
          <c:tx>
            <c:strRef>
              <c:f>Resultat!$Z$72</c:f>
              <c:strCache>
                <c:ptCount val="1"/>
                <c:pt idx="0">
                  <c:v>Alternativ 1</c:v>
                </c:pt>
              </c:strCache>
            </c:strRef>
          </c:tx>
          <c:spPr>
            <a:ln w="19050">
              <a:noFill/>
            </a:ln>
          </c:spPr>
          <c:marker>
            <c:spPr>
              <a:solidFill>
                <a:srgbClr val="E1FBFF"/>
              </a:solidFill>
            </c:spPr>
          </c:marker>
          <c:dPt>
            <c:idx val="10"/>
            <c:marker>
              <c:spPr>
                <a:ln>
                  <a:noFill/>
                </a:ln>
              </c:spPr>
            </c:marker>
            <c:bubble3D val="0"/>
            <c:extLst>
              <c:ext xmlns:c16="http://schemas.microsoft.com/office/drawing/2014/chart" uri="{C3380CC4-5D6E-409C-BE32-E72D297353CC}">
                <c16:uniqueId val="{00000003-2653-4F3B-902A-C8259FBDD6E9}"/>
              </c:ext>
            </c:extLst>
          </c:dPt>
          <c:xVal>
            <c:numRef>
              <c:f>Resultat!$X$73:$X$103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xVal>
          <c:yVal>
            <c:numRef>
              <c:f>Resultat!$Z$73:$Z$103</c:f>
              <c:numCache>
                <c:formatCode>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yVal>
          <c:smooth val="0"/>
          <c:extLst>
            <c:ext xmlns:c16="http://schemas.microsoft.com/office/drawing/2014/chart" uri="{C3380CC4-5D6E-409C-BE32-E72D297353CC}">
              <c16:uniqueId val="{0000000B-F65F-440D-863A-3D7011F0B1DE}"/>
            </c:ext>
          </c:extLst>
        </c:ser>
        <c:ser>
          <c:idx val="2"/>
          <c:order val="2"/>
          <c:tx>
            <c:strRef>
              <c:f>Resultat!$AA$72</c:f>
              <c:strCache>
                <c:ptCount val="1"/>
                <c:pt idx="0">
                  <c:v>Alternativ 2</c:v>
                </c:pt>
              </c:strCache>
            </c:strRef>
          </c:tx>
          <c:spPr>
            <a:ln w="19050">
              <a:noFill/>
            </a:ln>
          </c:spPr>
          <c:xVal>
            <c:numRef>
              <c:f>Resultat!$X$73:$X$103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xVal>
          <c:yVal>
            <c:numRef>
              <c:f>Resultat!$AA$73:$AA$103</c:f>
              <c:numCache>
                <c:formatCode>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yVal>
          <c:smooth val="0"/>
          <c:extLst>
            <c:ext xmlns:c16="http://schemas.microsoft.com/office/drawing/2014/chart" uri="{C3380CC4-5D6E-409C-BE32-E72D297353CC}">
              <c16:uniqueId val="{00000001-9DFD-4DF6-B638-ACFD71F71B08}"/>
            </c:ext>
          </c:extLst>
        </c:ser>
        <c:ser>
          <c:idx val="3"/>
          <c:order val="3"/>
          <c:tx>
            <c:strRef>
              <c:f>Resultat!$AB$72</c:f>
              <c:strCache>
                <c:ptCount val="1"/>
                <c:pt idx="0">
                  <c:v>Alternativ 3</c:v>
                </c:pt>
              </c:strCache>
            </c:strRef>
          </c:tx>
          <c:spPr>
            <a:ln w="19050">
              <a:noFill/>
            </a:ln>
          </c:spPr>
          <c:xVal>
            <c:numRef>
              <c:f>Resultat!$X$73:$X$103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xVal>
          <c:yVal>
            <c:numRef>
              <c:f>Resultat!$AB$73:$AB$103</c:f>
              <c:numCache>
                <c:formatCode>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yVal>
          <c:smooth val="0"/>
          <c:extLst>
            <c:ext xmlns:c16="http://schemas.microsoft.com/office/drawing/2014/chart" uri="{C3380CC4-5D6E-409C-BE32-E72D297353CC}">
              <c16:uniqueId val="{00000000-2653-4F3B-902A-C8259FBDD6E9}"/>
            </c:ext>
          </c:extLst>
        </c:ser>
        <c:ser>
          <c:idx val="4"/>
          <c:order val="4"/>
          <c:tx>
            <c:strRef>
              <c:f>Resultat!$AC$72</c:f>
              <c:strCache>
                <c:ptCount val="1"/>
                <c:pt idx="0">
                  <c:v>Alternativ 4</c:v>
                </c:pt>
              </c:strCache>
            </c:strRef>
          </c:tx>
          <c:spPr>
            <a:ln w="19050">
              <a:noFill/>
            </a:ln>
          </c:spPr>
          <c:xVal>
            <c:numRef>
              <c:f>Resultat!$X$73:$X$103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xVal>
          <c:yVal>
            <c:numRef>
              <c:f>Resultat!$AC$73:$AC$103</c:f>
              <c:numCache>
                <c:formatCode>0</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yVal>
          <c:smooth val="0"/>
          <c:extLst>
            <c:ext xmlns:c16="http://schemas.microsoft.com/office/drawing/2014/chart" uri="{C3380CC4-5D6E-409C-BE32-E72D297353CC}">
              <c16:uniqueId val="{00000001-2653-4F3B-902A-C8259FBDD6E9}"/>
            </c:ext>
          </c:extLst>
        </c:ser>
        <c:ser>
          <c:idx val="5"/>
          <c:order val="5"/>
          <c:tx>
            <c:strRef>
              <c:f>Resultat!$AD$72</c:f>
              <c:strCache>
                <c:ptCount val="1"/>
                <c:pt idx="0">
                  <c:v>Alternativ 5</c:v>
                </c:pt>
              </c:strCache>
            </c:strRef>
          </c:tx>
          <c:spPr>
            <a:ln w="19050">
              <a:noFill/>
            </a:ln>
          </c:spPr>
          <c:xVal>
            <c:numRef>
              <c:f>Resultat!$X$73:$X$103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xVal>
          <c:yVal>
            <c:numRef>
              <c:f>Resultat!$AD$73:$AD$103</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yVal>
          <c:smooth val="0"/>
          <c:extLst>
            <c:ext xmlns:c16="http://schemas.microsoft.com/office/drawing/2014/chart" uri="{C3380CC4-5D6E-409C-BE32-E72D297353CC}">
              <c16:uniqueId val="{00000002-2653-4F3B-902A-C8259FBDD6E9}"/>
            </c:ext>
          </c:extLst>
        </c:ser>
        <c:dLbls>
          <c:showLegendKey val="0"/>
          <c:showVal val="0"/>
          <c:showCatName val="0"/>
          <c:showSerName val="0"/>
          <c:showPercent val="0"/>
          <c:showBubbleSize val="0"/>
        </c:dLbls>
        <c:axId val="379910655"/>
        <c:axId val="379901535"/>
      </c:scatterChart>
      <c:dateAx>
        <c:axId val="379910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crossAx val="379901535"/>
        <c:crosses val="autoZero"/>
        <c:auto val="0"/>
        <c:lblOffset val="100"/>
        <c:baseTimeUnit val="days"/>
      </c:dateAx>
      <c:valAx>
        <c:axId val="3799015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Oslo Sans" panose="02000000000000000000" pitchFamily="2" charset="0"/>
                    <a:ea typeface="+mn-ea"/>
                    <a:cs typeface="+mn-cs"/>
                  </a:defRPr>
                </a:pPr>
                <a:r>
                  <a:rPr lang="nb-NO" sz="1000" b="0" i="0" u="none" strike="noStrike" kern="1200" baseline="0">
                    <a:solidFill>
                      <a:sysClr val="windowText" lastClr="000000">
                        <a:lumMod val="65000"/>
                        <a:lumOff val="35000"/>
                      </a:sysClr>
                    </a:solidFill>
                    <a:latin typeface="Oslo Sans" panose="02000000000000000000" pitchFamily="2" charset="0"/>
                  </a:rPr>
                  <a:t>kg CO2-ekv/m2 BTA</a:t>
                </a:r>
              </a:p>
            </c:rich>
          </c:tx>
          <c:overlay val="0"/>
          <c:spPr>
            <a:no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Oslo Sans" panose="02000000000000000000" pitchFamily="2" charset="0"/>
                <a:ea typeface="+mn-ea"/>
                <a:cs typeface="+mn-cs"/>
              </a:defRPr>
            </a:pPr>
            <a:endParaRPr lang="nb-NO"/>
          </a:p>
        </c:txPr>
        <c:crossAx val="379910655"/>
        <c:crosses val="autoZero"/>
        <c:crossBetween val="between"/>
      </c:valAx>
    </c:plotArea>
    <c:plotVisOnly val="0"/>
    <c:dispBlanksAs val="gap"/>
    <c:showDLblsOverMax val="0"/>
  </c:chart>
  <c:txPr>
    <a:bodyPr/>
    <a:lstStyle/>
    <a:p>
      <a:pPr>
        <a:defRPr/>
      </a:pPr>
      <a:endParaRPr lang="nb-N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b-NO" sz="1400" b="0" i="0" u="none" strike="noStrike" kern="1200" spc="0" baseline="0">
                <a:solidFill>
                  <a:srgbClr val="000000">
                    <a:lumMod val="65000"/>
                    <a:lumOff val="35000"/>
                  </a:srgbClr>
                </a:solidFill>
                <a:latin typeface="Oslo Sans" panose="02000000000000000000" pitchFamily="2" charset="0"/>
              </a:rPr>
              <a:t>Resultat, kg CO2 ekv, 50 år, pr m2 oppvarmet BRA</a:t>
            </a:r>
          </a:p>
          <a:p>
            <a:pPr>
              <a:defRPr/>
            </a:pPr>
            <a:r>
              <a:rPr lang="nb-NO" sz="1400" b="0" i="0" u="none" strike="noStrike" kern="1200" spc="0" baseline="0">
                <a:solidFill>
                  <a:srgbClr val="000000">
                    <a:lumMod val="65000"/>
                    <a:lumOff val="35000"/>
                  </a:srgbClr>
                </a:solidFill>
                <a:latin typeface="Oslo Sans" panose="02000000000000000000" pitchFamily="2" charset="0"/>
              </a:rPr>
              <a:t>Klimagassutslipp fordelt over beregningsperioden: A1-A3, A4, A5, B2, B4, B6 og C1-C4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manualLayout>
          <c:layoutTarget val="inner"/>
          <c:xMode val="edge"/>
          <c:yMode val="edge"/>
          <c:x val="6.1525585044678449E-2"/>
          <c:y val="0.13244632329868739"/>
          <c:w val="0.92469746175662781"/>
          <c:h val="0.60322661056191007"/>
        </c:manualLayout>
      </c:layout>
      <c:lineChart>
        <c:grouping val="standard"/>
        <c:varyColors val="0"/>
        <c:ser>
          <c:idx val="0"/>
          <c:order val="0"/>
          <c:tx>
            <c:strRef>
              <c:f>Resultat!$AK$71</c:f>
              <c:strCache>
                <c:ptCount val="1"/>
                <c:pt idx="0">
                  <c:v>Alternativ 1</c:v>
                </c:pt>
              </c:strCache>
            </c:strRef>
          </c:tx>
          <c:spPr>
            <a:ln w="28575" cap="rnd">
              <a:solidFill>
                <a:srgbClr val="44DCA1"/>
              </a:solidFill>
              <a:round/>
            </a:ln>
            <a:effectLst/>
          </c:spPr>
          <c:marker>
            <c:symbol val="none"/>
          </c:marker>
          <c:cat>
            <c:multiLvlStrRef>
              <c:f>Resultat!$AI$72:$AJ$123</c:f>
              <c:multiLvlStrCache>
                <c:ptCount val="52"/>
                <c:lvl>
                  <c:pt idx="0">
                    <c:v>Bygging: A1-A3, A4, A5</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Avhending, C1-C4</c:v>
                  </c:pt>
                </c:lvl>
                <c:lvl>
                  <c:pt idx="1">
                    <c:v>Antall år etter utbygging, B2, B4, B6</c:v>
                  </c:pt>
                </c:lvl>
              </c:multiLvlStrCache>
            </c:multiLvlStrRef>
          </c:cat>
          <c:val>
            <c:numRef>
              <c:f>Resultat!$AK$72:$AK$123</c:f>
              <c:numCache>
                <c:formatCode>#,##0</c:formatCode>
                <c:ptCount val="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val>
          <c:smooth val="0"/>
          <c:extLst>
            <c:ext xmlns:c16="http://schemas.microsoft.com/office/drawing/2014/chart" uri="{C3380CC4-5D6E-409C-BE32-E72D297353CC}">
              <c16:uniqueId val="{00000000-0BDB-48DB-A219-6EB8C3ADC5F8}"/>
            </c:ext>
          </c:extLst>
        </c:ser>
        <c:ser>
          <c:idx val="1"/>
          <c:order val="1"/>
          <c:tx>
            <c:strRef>
              <c:f>Resultat!$AL$71</c:f>
              <c:strCache>
                <c:ptCount val="1"/>
                <c:pt idx="0">
                  <c:v>Alternativ 2</c:v>
                </c:pt>
              </c:strCache>
            </c:strRef>
          </c:tx>
          <c:spPr>
            <a:ln w="28575" cap="rnd">
              <a:solidFill>
                <a:srgbClr val="B0DAB2"/>
              </a:solidFill>
              <a:round/>
            </a:ln>
            <a:effectLst/>
          </c:spPr>
          <c:marker>
            <c:symbol val="none"/>
          </c:marker>
          <c:cat>
            <c:multiLvlStrRef>
              <c:f>Resultat!$AI$72:$AJ$123</c:f>
              <c:multiLvlStrCache>
                <c:ptCount val="52"/>
                <c:lvl>
                  <c:pt idx="0">
                    <c:v>Bygging: A1-A3, A4, A5</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Avhending, C1-C4</c:v>
                  </c:pt>
                </c:lvl>
                <c:lvl>
                  <c:pt idx="1">
                    <c:v>Antall år etter utbygging, B2, B4, B6</c:v>
                  </c:pt>
                </c:lvl>
              </c:multiLvlStrCache>
            </c:multiLvlStrRef>
          </c:cat>
          <c:val>
            <c:numRef>
              <c:f>Resultat!$AL$72:$AL$123</c:f>
              <c:numCache>
                <c:formatCode>#,##0</c:formatCode>
                <c:ptCount val="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val>
          <c:smooth val="0"/>
          <c:extLst>
            <c:ext xmlns:c16="http://schemas.microsoft.com/office/drawing/2014/chart" uri="{C3380CC4-5D6E-409C-BE32-E72D297353CC}">
              <c16:uniqueId val="{00000001-0BDB-48DB-A219-6EB8C3ADC5F8}"/>
            </c:ext>
          </c:extLst>
        </c:ser>
        <c:ser>
          <c:idx val="2"/>
          <c:order val="2"/>
          <c:tx>
            <c:strRef>
              <c:f>Resultat!$AM$71</c:f>
              <c:strCache>
                <c:ptCount val="1"/>
                <c:pt idx="0">
                  <c:v>Alternativ 3</c:v>
                </c:pt>
              </c:strCache>
            </c:strRef>
          </c:tx>
          <c:spPr>
            <a:ln w="28575" cap="rnd">
              <a:solidFill>
                <a:srgbClr val="67CDDE"/>
              </a:solidFill>
              <a:round/>
            </a:ln>
            <a:effectLst/>
          </c:spPr>
          <c:marker>
            <c:symbol val="none"/>
          </c:marker>
          <c:cat>
            <c:multiLvlStrRef>
              <c:f>Resultat!$AI$72:$AJ$123</c:f>
              <c:multiLvlStrCache>
                <c:ptCount val="52"/>
                <c:lvl>
                  <c:pt idx="0">
                    <c:v>Bygging: A1-A3, A4, A5</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Avhending, C1-C4</c:v>
                  </c:pt>
                </c:lvl>
                <c:lvl>
                  <c:pt idx="1">
                    <c:v>Antall år etter utbygging, B2, B4, B6</c:v>
                  </c:pt>
                </c:lvl>
              </c:multiLvlStrCache>
            </c:multiLvlStrRef>
          </c:cat>
          <c:val>
            <c:numRef>
              <c:f>Resultat!$AM$72:$AM$123</c:f>
              <c:numCache>
                <c:formatCode>#,##0</c:formatCode>
                <c:ptCount val="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val>
          <c:smooth val="0"/>
          <c:extLst>
            <c:ext xmlns:c16="http://schemas.microsoft.com/office/drawing/2014/chart" uri="{C3380CC4-5D6E-409C-BE32-E72D297353CC}">
              <c16:uniqueId val="{00000002-0BDB-48DB-A219-6EB8C3ADC5F8}"/>
            </c:ext>
          </c:extLst>
        </c:ser>
        <c:ser>
          <c:idx val="3"/>
          <c:order val="3"/>
          <c:tx>
            <c:strRef>
              <c:f>Resultat!$AN$71</c:f>
              <c:strCache>
                <c:ptCount val="1"/>
                <c:pt idx="0">
                  <c:v>Alternativ 4</c:v>
                </c:pt>
              </c:strCache>
            </c:strRef>
          </c:tx>
          <c:spPr>
            <a:ln w="28575" cap="rnd">
              <a:solidFill>
                <a:srgbClr val="E47E73"/>
              </a:solidFill>
              <a:round/>
            </a:ln>
            <a:effectLst/>
          </c:spPr>
          <c:marker>
            <c:symbol val="none"/>
          </c:marker>
          <c:cat>
            <c:multiLvlStrRef>
              <c:f>Resultat!$AI$72:$AJ$123</c:f>
              <c:multiLvlStrCache>
                <c:ptCount val="52"/>
                <c:lvl>
                  <c:pt idx="0">
                    <c:v>Bygging: A1-A3, A4, A5</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Avhending, C1-C4</c:v>
                  </c:pt>
                </c:lvl>
                <c:lvl>
                  <c:pt idx="1">
                    <c:v>Antall år etter utbygging, B2, B4, B6</c:v>
                  </c:pt>
                </c:lvl>
              </c:multiLvlStrCache>
            </c:multiLvlStrRef>
          </c:cat>
          <c:val>
            <c:numRef>
              <c:f>Resultat!$AN$72:$AN$123</c:f>
              <c:numCache>
                <c:formatCode>#,##0</c:formatCode>
                <c:ptCount val="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val>
          <c:smooth val="0"/>
          <c:extLst>
            <c:ext xmlns:c16="http://schemas.microsoft.com/office/drawing/2014/chart" uri="{C3380CC4-5D6E-409C-BE32-E72D297353CC}">
              <c16:uniqueId val="{00000003-0BDB-48DB-A219-6EB8C3ADC5F8}"/>
            </c:ext>
          </c:extLst>
        </c:ser>
        <c:ser>
          <c:idx val="4"/>
          <c:order val="4"/>
          <c:tx>
            <c:strRef>
              <c:f>Resultat!$AO$71</c:f>
              <c:strCache>
                <c:ptCount val="1"/>
                <c:pt idx="0">
                  <c:v>Alternativ 5</c:v>
                </c:pt>
              </c:strCache>
            </c:strRef>
          </c:tx>
          <c:spPr>
            <a:ln w="28575" cap="rnd">
              <a:solidFill>
                <a:srgbClr val="DDAF5E"/>
              </a:solidFill>
              <a:round/>
            </a:ln>
            <a:effectLst/>
          </c:spPr>
          <c:marker>
            <c:symbol val="none"/>
          </c:marker>
          <c:cat>
            <c:multiLvlStrRef>
              <c:f>Resultat!$AI$72:$AJ$123</c:f>
              <c:multiLvlStrCache>
                <c:ptCount val="52"/>
                <c:lvl>
                  <c:pt idx="0">
                    <c:v>Bygging: A1-A3, A4, A5</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Avhending, C1-C4</c:v>
                  </c:pt>
                </c:lvl>
                <c:lvl>
                  <c:pt idx="1">
                    <c:v>Antall år etter utbygging, B2, B4, B6</c:v>
                  </c:pt>
                </c:lvl>
              </c:multiLvlStrCache>
            </c:multiLvlStrRef>
          </c:cat>
          <c:val>
            <c:numRef>
              <c:f>Resultat!$AO$72:$AO$123</c:f>
              <c:numCache>
                <c:formatCode>#,##0</c:formatCode>
                <c:ptCount val="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val>
          <c:smooth val="0"/>
          <c:extLst>
            <c:ext xmlns:c16="http://schemas.microsoft.com/office/drawing/2014/chart" uri="{C3380CC4-5D6E-409C-BE32-E72D297353CC}">
              <c16:uniqueId val="{00000004-0BDB-48DB-A219-6EB8C3ADC5F8}"/>
            </c:ext>
          </c:extLst>
        </c:ser>
        <c:dLbls>
          <c:showLegendKey val="0"/>
          <c:showVal val="0"/>
          <c:showCatName val="0"/>
          <c:showSerName val="0"/>
          <c:showPercent val="0"/>
          <c:showBubbleSize val="0"/>
        </c:dLbls>
        <c:smooth val="0"/>
        <c:axId val="288199487"/>
        <c:axId val="288193247"/>
      </c:lineChart>
      <c:catAx>
        <c:axId val="2881994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crossAx val="288193247"/>
        <c:crosses val="autoZero"/>
        <c:auto val="1"/>
        <c:lblAlgn val="ctr"/>
        <c:lblOffset val="100"/>
        <c:noMultiLvlLbl val="0"/>
      </c:catAx>
      <c:valAx>
        <c:axId val="28819324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nb-NO" sz="1200" b="0" i="0" u="none" strike="noStrike" kern="1200" spc="0" baseline="0">
                    <a:solidFill>
                      <a:srgbClr val="000000">
                        <a:lumMod val="65000"/>
                        <a:lumOff val="35000"/>
                      </a:srgbClr>
                    </a:solidFill>
                    <a:latin typeface="Oslo Sans" panose="02000000000000000000" pitchFamily="2" charset="0"/>
                  </a:rPr>
                  <a:t>kg CO2 ekv, 50 år, pr m2 oppvarmet BRA</a:t>
                </a:r>
                <a:endParaRPr lang="nb-NO" sz="1200"/>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288199487"/>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image" Target="../media/image5.emf"/><Relationship Id="rId13" Type="http://schemas.openxmlformats.org/officeDocument/2006/relationships/image" Target="../media/image9.emf"/><Relationship Id="rId3" Type="http://schemas.openxmlformats.org/officeDocument/2006/relationships/chart" Target="../charts/chart2.xml"/><Relationship Id="rId7" Type="http://schemas.openxmlformats.org/officeDocument/2006/relationships/image" Target="../media/image4.emf"/><Relationship Id="rId12" Type="http://schemas.openxmlformats.org/officeDocument/2006/relationships/chart" Target="../charts/chart5.xml"/><Relationship Id="rId17" Type="http://schemas.openxmlformats.org/officeDocument/2006/relationships/image" Target="../media/image13.emf"/><Relationship Id="rId2" Type="http://schemas.openxmlformats.org/officeDocument/2006/relationships/chart" Target="../charts/chart1.xml"/><Relationship Id="rId16" Type="http://schemas.openxmlformats.org/officeDocument/2006/relationships/image" Target="../media/image12.emf"/><Relationship Id="rId1" Type="http://schemas.openxmlformats.org/officeDocument/2006/relationships/image" Target="../media/image2.png"/><Relationship Id="rId6" Type="http://schemas.openxmlformats.org/officeDocument/2006/relationships/image" Target="../media/image3.png"/><Relationship Id="rId11" Type="http://schemas.openxmlformats.org/officeDocument/2006/relationships/image" Target="../media/image8.emf"/><Relationship Id="rId5" Type="http://schemas.openxmlformats.org/officeDocument/2006/relationships/chart" Target="../charts/chart4.xml"/><Relationship Id="rId15" Type="http://schemas.openxmlformats.org/officeDocument/2006/relationships/image" Target="../media/image11.emf"/><Relationship Id="rId10" Type="http://schemas.openxmlformats.org/officeDocument/2006/relationships/image" Target="../media/image7.emf"/><Relationship Id="rId4" Type="http://schemas.openxmlformats.org/officeDocument/2006/relationships/chart" Target="../charts/chart3.xml"/><Relationship Id="rId9" Type="http://schemas.openxmlformats.org/officeDocument/2006/relationships/image" Target="../media/image6.emf"/><Relationship Id="rId14" Type="http://schemas.openxmlformats.org/officeDocument/2006/relationships/image" Target="../media/image10.emf"/></Relationships>
</file>

<file path=xl/drawings/_rels/drawing3.xml.rels><?xml version="1.0" encoding="UTF-8" standalone="yes"?>
<Relationships xmlns="http://schemas.openxmlformats.org/package/2006/relationships"><Relationship Id="rId8" Type="http://schemas.openxmlformats.org/officeDocument/2006/relationships/image" Target="../media/image31.png"/><Relationship Id="rId3" Type="http://schemas.openxmlformats.org/officeDocument/2006/relationships/image" Target="../media/image26.png"/><Relationship Id="rId7" Type="http://schemas.openxmlformats.org/officeDocument/2006/relationships/image" Target="../media/image30.png"/><Relationship Id="rId2" Type="http://schemas.openxmlformats.org/officeDocument/2006/relationships/image" Target="../media/image25.png"/><Relationship Id="rId1" Type="http://schemas.openxmlformats.org/officeDocument/2006/relationships/image" Target="../media/image24.png"/><Relationship Id="rId6" Type="http://schemas.openxmlformats.org/officeDocument/2006/relationships/image" Target="../media/image29.png"/><Relationship Id="rId5" Type="http://schemas.openxmlformats.org/officeDocument/2006/relationships/image" Target="../media/image28.png"/><Relationship Id="rId10" Type="http://schemas.openxmlformats.org/officeDocument/2006/relationships/image" Target="../media/image33.png"/><Relationship Id="rId4" Type="http://schemas.openxmlformats.org/officeDocument/2006/relationships/image" Target="../media/image27.png"/><Relationship Id="rId9" Type="http://schemas.openxmlformats.org/officeDocument/2006/relationships/image" Target="../media/image3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21.emf"/><Relationship Id="rId3" Type="http://schemas.openxmlformats.org/officeDocument/2006/relationships/image" Target="../media/image16.emf"/><Relationship Id="rId7" Type="http://schemas.openxmlformats.org/officeDocument/2006/relationships/image" Target="../media/image20.emf"/><Relationship Id="rId2" Type="http://schemas.openxmlformats.org/officeDocument/2006/relationships/image" Target="../media/image15.emf"/><Relationship Id="rId1" Type="http://schemas.openxmlformats.org/officeDocument/2006/relationships/image" Target="../media/image14.emf"/><Relationship Id="rId6" Type="http://schemas.openxmlformats.org/officeDocument/2006/relationships/image" Target="../media/image19.emf"/><Relationship Id="rId5" Type="http://schemas.openxmlformats.org/officeDocument/2006/relationships/image" Target="../media/image18.emf"/><Relationship Id="rId10" Type="http://schemas.openxmlformats.org/officeDocument/2006/relationships/image" Target="../media/image23.emf"/><Relationship Id="rId4" Type="http://schemas.openxmlformats.org/officeDocument/2006/relationships/image" Target="../media/image17.emf"/><Relationship Id="rId9"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editAs="oneCell">
    <xdr:from>
      <xdr:col>14</xdr:col>
      <xdr:colOff>493047</xdr:colOff>
      <xdr:row>10</xdr:row>
      <xdr:rowOff>140073</xdr:rowOff>
    </xdr:from>
    <xdr:to>
      <xdr:col>17</xdr:col>
      <xdr:colOff>249102</xdr:colOff>
      <xdr:row>11</xdr:row>
      <xdr:rowOff>608928</xdr:rowOff>
    </xdr:to>
    <xdr:pic>
      <xdr:nvPicPr>
        <xdr:cNvPr id="4" name="Picture 3">
          <a:extLst>
            <a:ext uri="{FF2B5EF4-FFF2-40B4-BE49-F238E27FC236}">
              <a16:creationId xmlns:a16="http://schemas.microsoft.com/office/drawing/2014/main" id="{7BC4CE44-BBA6-9EC5-5650-AF1ECFF7BD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40341" y="2459691"/>
          <a:ext cx="1567598" cy="689162"/>
        </a:xfrm>
        <a:prstGeom prst="rect">
          <a:avLst/>
        </a:prstGeom>
      </xdr:spPr>
    </xdr:pic>
    <xdr:clientData/>
  </xdr:twoCellAnchor>
  <xdr:twoCellAnchor editAs="oneCell">
    <xdr:from>
      <xdr:col>14</xdr:col>
      <xdr:colOff>123266</xdr:colOff>
      <xdr:row>0</xdr:row>
      <xdr:rowOff>11206</xdr:rowOff>
    </xdr:from>
    <xdr:to>
      <xdr:col>18</xdr:col>
      <xdr:colOff>283957</xdr:colOff>
      <xdr:row>7</xdr:row>
      <xdr:rowOff>86073</xdr:rowOff>
    </xdr:to>
    <xdr:pic>
      <xdr:nvPicPr>
        <xdr:cNvPr id="2" name="Picture 1">
          <a:extLst>
            <a:ext uri="{FF2B5EF4-FFF2-40B4-BE49-F238E27FC236}">
              <a16:creationId xmlns:a16="http://schemas.microsoft.com/office/drawing/2014/main" id="{34BCBC88-A0CB-413D-B207-3AD245A10F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70560" y="11206"/>
          <a:ext cx="2577352" cy="172022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1660071</xdr:colOff>
      <xdr:row>0</xdr:row>
      <xdr:rowOff>68035</xdr:rowOff>
    </xdr:from>
    <xdr:to>
      <xdr:col>7</xdr:col>
      <xdr:colOff>1293622</xdr:colOff>
      <xdr:row>12</xdr:row>
      <xdr:rowOff>131855</xdr:rowOff>
    </xdr:to>
    <xdr:pic>
      <xdr:nvPicPr>
        <xdr:cNvPr id="2" name="Picture 1">
          <a:extLst>
            <a:ext uri="{FF2B5EF4-FFF2-40B4-BE49-F238E27FC236}">
              <a16:creationId xmlns:a16="http://schemas.microsoft.com/office/drawing/2014/main" id="{9AB89725-35C9-40B6-8164-8355E05043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79035" y="68035"/>
          <a:ext cx="1946766" cy="12993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44825</xdr:colOff>
      <xdr:row>1</xdr:row>
      <xdr:rowOff>11205</xdr:rowOff>
    </xdr:from>
    <xdr:to>
      <xdr:col>12</xdr:col>
      <xdr:colOff>953254</xdr:colOff>
      <xdr:row>4</xdr:row>
      <xdr:rowOff>494430</xdr:rowOff>
    </xdr:to>
    <xdr:pic>
      <xdr:nvPicPr>
        <xdr:cNvPr id="6" name="Picture 5">
          <a:extLst>
            <a:ext uri="{FF2B5EF4-FFF2-40B4-BE49-F238E27FC236}">
              <a16:creationId xmlns:a16="http://schemas.microsoft.com/office/drawing/2014/main" id="{5A137126-135A-4676-98E8-33B62C1E2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01384" y="235323"/>
          <a:ext cx="1946766" cy="1299349"/>
        </a:xfrm>
        <a:prstGeom prst="rect">
          <a:avLst/>
        </a:prstGeom>
      </xdr:spPr>
    </xdr:pic>
    <xdr:clientData/>
  </xdr:twoCellAnchor>
  <xdr:twoCellAnchor>
    <xdr:from>
      <xdr:col>2</xdr:col>
      <xdr:colOff>0</xdr:colOff>
      <xdr:row>43</xdr:row>
      <xdr:rowOff>147356</xdr:rowOff>
    </xdr:from>
    <xdr:to>
      <xdr:col>3</xdr:col>
      <xdr:colOff>649941</xdr:colOff>
      <xdr:row>65</xdr:row>
      <xdr:rowOff>112058</xdr:rowOff>
    </xdr:to>
    <xdr:graphicFrame macro="">
      <xdr:nvGraphicFramePr>
        <xdr:cNvPr id="2" name="Chart 7">
          <a:extLst>
            <a:ext uri="{FF2B5EF4-FFF2-40B4-BE49-F238E27FC236}">
              <a16:creationId xmlns:a16="http://schemas.microsoft.com/office/drawing/2014/main" id="{D2AA693E-CB11-4EC3-BB7C-A6C5B7CD48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56030</xdr:colOff>
      <xdr:row>43</xdr:row>
      <xdr:rowOff>145676</xdr:rowOff>
    </xdr:from>
    <xdr:to>
      <xdr:col>8</xdr:col>
      <xdr:colOff>593912</xdr:colOff>
      <xdr:row>65</xdr:row>
      <xdr:rowOff>110378</xdr:rowOff>
    </xdr:to>
    <xdr:graphicFrame macro="">
      <xdr:nvGraphicFramePr>
        <xdr:cNvPr id="3" name="Chart 8">
          <a:extLst>
            <a:ext uri="{FF2B5EF4-FFF2-40B4-BE49-F238E27FC236}">
              <a16:creationId xmlns:a16="http://schemas.microsoft.com/office/drawing/2014/main" id="{31E3B185-989D-4263-B292-F770688143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907676</xdr:colOff>
      <xdr:row>43</xdr:row>
      <xdr:rowOff>145677</xdr:rowOff>
    </xdr:from>
    <xdr:to>
      <xdr:col>13</xdr:col>
      <xdr:colOff>44821</xdr:colOff>
      <xdr:row>65</xdr:row>
      <xdr:rowOff>110379</xdr:rowOff>
    </xdr:to>
    <xdr:graphicFrame macro="">
      <xdr:nvGraphicFramePr>
        <xdr:cNvPr id="4" name="Chart 9">
          <a:extLst>
            <a:ext uri="{FF2B5EF4-FFF2-40B4-BE49-F238E27FC236}">
              <a16:creationId xmlns:a16="http://schemas.microsoft.com/office/drawing/2014/main" id="{907BDD36-12B2-41B2-A4BA-65DBDB3A6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74</xdr:colOff>
      <xdr:row>70</xdr:row>
      <xdr:rowOff>190499</xdr:rowOff>
    </xdr:from>
    <xdr:to>
      <xdr:col>8</xdr:col>
      <xdr:colOff>417635</xdr:colOff>
      <xdr:row>99</xdr:row>
      <xdr:rowOff>123824</xdr:rowOff>
    </xdr:to>
    <xdr:graphicFrame macro="">
      <xdr:nvGraphicFramePr>
        <xdr:cNvPr id="7" name="Diagram 6">
          <a:extLst>
            <a:ext uri="{FF2B5EF4-FFF2-40B4-BE49-F238E27FC236}">
              <a16:creationId xmlns:a16="http://schemas.microsoft.com/office/drawing/2014/main" id="{91618488-AB37-BFCD-A4A4-B34C83EFA9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8</xdr:col>
      <xdr:colOff>522515</xdr:colOff>
      <xdr:row>82</xdr:row>
      <xdr:rowOff>76200</xdr:rowOff>
    </xdr:from>
    <xdr:to>
      <xdr:col>9</xdr:col>
      <xdr:colOff>899</xdr:colOff>
      <xdr:row>82</xdr:row>
      <xdr:rowOff>123832</xdr:rowOff>
    </xdr:to>
    <xdr:pic>
      <xdr:nvPicPr>
        <xdr:cNvPr id="8" name="Picture 7">
          <a:extLst>
            <a:ext uri="{FF2B5EF4-FFF2-40B4-BE49-F238E27FC236}">
              <a16:creationId xmlns:a16="http://schemas.microsoft.com/office/drawing/2014/main" id="{8A6A0BAC-0B60-3CD8-2A1A-322E04B8006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0798629" y="17019814"/>
          <a:ext cx="438211" cy="4763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372179</xdr:colOff>
          <xdr:row>87</xdr:row>
          <xdr:rowOff>6569</xdr:rowOff>
        </xdr:from>
        <xdr:to>
          <xdr:col>9</xdr:col>
          <xdr:colOff>18393</xdr:colOff>
          <xdr:row>88</xdr:row>
          <xdr:rowOff>6569</xdr:rowOff>
        </xdr:to>
        <xdr:pic>
          <xdr:nvPicPr>
            <xdr:cNvPr id="21" name="Picture 20">
              <a:extLst>
                <a:ext uri="{FF2B5EF4-FFF2-40B4-BE49-F238E27FC236}">
                  <a16:creationId xmlns:a16="http://schemas.microsoft.com/office/drawing/2014/main" id="{8B15C80A-8E08-403D-ACC1-B967556D53CB}"/>
                </a:ext>
              </a:extLst>
            </xdr:cNvPr>
            <xdr:cNvPicPr>
              <a:picLocks noChangeAspect="1"/>
              <a:extLst>
                <a:ext uri="{84589F7E-364E-4C9E-8A38-B11213B215E9}">
                  <a14:cameraTool cellRange="bilde_5" spid="_x0000_s2356"/>
                </a:ext>
              </a:extLst>
            </xdr:cNvPicPr>
          </xdr:nvPicPr>
          <xdr:blipFill>
            <a:blip xmlns:r="http://schemas.openxmlformats.org/officeDocument/2006/relationships" r:embed="rId7"/>
            <a:stretch>
              <a:fillRect/>
            </a:stretch>
          </xdr:blipFill>
          <xdr:spPr>
            <a:xfrm>
              <a:off x="10631965" y="17641426"/>
              <a:ext cx="612321" cy="17689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86</xdr:row>
          <xdr:rowOff>6569</xdr:rowOff>
        </xdr:from>
        <xdr:to>
          <xdr:col>9</xdr:col>
          <xdr:colOff>27214</xdr:colOff>
          <xdr:row>87</xdr:row>
          <xdr:rowOff>6569</xdr:rowOff>
        </xdr:to>
        <xdr:pic>
          <xdr:nvPicPr>
            <xdr:cNvPr id="22" name="Picture 21">
              <a:extLst>
                <a:ext uri="{FF2B5EF4-FFF2-40B4-BE49-F238E27FC236}">
                  <a16:creationId xmlns:a16="http://schemas.microsoft.com/office/drawing/2014/main" id="{0BB94B50-1653-4372-9A6B-601DEABC70BB}"/>
                </a:ext>
              </a:extLst>
            </xdr:cNvPr>
            <xdr:cNvPicPr>
              <a:picLocks noChangeAspect="1"/>
              <a:extLst>
                <a:ext uri="{84589F7E-364E-4C9E-8A38-B11213B215E9}">
                  <a14:cameraTool cellRange="bilde_4" spid="_x0000_s2357"/>
                </a:ext>
              </a:extLst>
            </xdr:cNvPicPr>
          </xdr:nvPicPr>
          <xdr:blipFill>
            <a:blip xmlns:r="http://schemas.openxmlformats.org/officeDocument/2006/relationships" r:embed="rId8"/>
            <a:stretch>
              <a:fillRect/>
            </a:stretch>
          </xdr:blipFill>
          <xdr:spPr>
            <a:xfrm>
              <a:off x="10640786" y="17464533"/>
              <a:ext cx="612321" cy="17689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85</xdr:row>
          <xdr:rowOff>6569</xdr:rowOff>
        </xdr:from>
        <xdr:to>
          <xdr:col>9</xdr:col>
          <xdr:colOff>27214</xdr:colOff>
          <xdr:row>86</xdr:row>
          <xdr:rowOff>6569</xdr:rowOff>
        </xdr:to>
        <xdr:pic>
          <xdr:nvPicPr>
            <xdr:cNvPr id="23" name="Picture 22">
              <a:extLst>
                <a:ext uri="{FF2B5EF4-FFF2-40B4-BE49-F238E27FC236}">
                  <a16:creationId xmlns:a16="http://schemas.microsoft.com/office/drawing/2014/main" id="{9A34C20E-F433-4B19-9468-76714CE2A43C}"/>
                </a:ext>
              </a:extLst>
            </xdr:cNvPr>
            <xdr:cNvPicPr>
              <a:picLocks noChangeAspect="1"/>
              <a:extLst>
                <a:ext uri="{84589F7E-364E-4C9E-8A38-B11213B215E9}">
                  <a14:cameraTool cellRange="bilde_3" spid="_x0000_s2358"/>
                </a:ext>
              </a:extLst>
            </xdr:cNvPicPr>
          </xdr:nvPicPr>
          <xdr:blipFill>
            <a:blip xmlns:r="http://schemas.openxmlformats.org/officeDocument/2006/relationships" r:embed="rId9"/>
            <a:stretch>
              <a:fillRect/>
            </a:stretch>
          </xdr:blipFill>
          <xdr:spPr>
            <a:xfrm>
              <a:off x="10640786" y="17287640"/>
              <a:ext cx="612321" cy="17689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387569</xdr:colOff>
          <xdr:row>84</xdr:row>
          <xdr:rowOff>13138</xdr:rowOff>
        </xdr:from>
        <xdr:to>
          <xdr:col>9</xdr:col>
          <xdr:colOff>33783</xdr:colOff>
          <xdr:row>85</xdr:row>
          <xdr:rowOff>13139</xdr:rowOff>
        </xdr:to>
        <xdr:pic>
          <xdr:nvPicPr>
            <xdr:cNvPr id="24" name="Picture 23">
              <a:extLst>
                <a:ext uri="{FF2B5EF4-FFF2-40B4-BE49-F238E27FC236}">
                  <a16:creationId xmlns:a16="http://schemas.microsoft.com/office/drawing/2014/main" id="{F954C877-00CE-405E-B1CA-4DBA2CA73C99}"/>
                </a:ext>
              </a:extLst>
            </xdr:cNvPr>
            <xdr:cNvPicPr>
              <a:picLocks noChangeAspect="1"/>
              <a:extLst>
                <a:ext uri="{84589F7E-364E-4C9E-8A38-B11213B215E9}">
                  <a14:cameraTool cellRange="bilde_2" spid="_x0000_s2359"/>
                </a:ext>
              </a:extLst>
            </xdr:cNvPicPr>
          </xdr:nvPicPr>
          <xdr:blipFill>
            <a:blip xmlns:r="http://schemas.openxmlformats.org/officeDocument/2006/relationships" r:embed="rId10"/>
            <a:stretch>
              <a:fillRect/>
            </a:stretch>
          </xdr:blipFill>
          <xdr:spPr>
            <a:xfrm>
              <a:off x="10647355" y="17117317"/>
              <a:ext cx="612321" cy="17689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381000</xdr:colOff>
          <xdr:row>83</xdr:row>
          <xdr:rowOff>6569</xdr:rowOff>
        </xdr:from>
        <xdr:to>
          <xdr:col>9</xdr:col>
          <xdr:colOff>27214</xdr:colOff>
          <xdr:row>84</xdr:row>
          <xdr:rowOff>6569</xdr:rowOff>
        </xdr:to>
        <xdr:pic>
          <xdr:nvPicPr>
            <xdr:cNvPr id="25" name="Picture 24">
              <a:extLst>
                <a:ext uri="{FF2B5EF4-FFF2-40B4-BE49-F238E27FC236}">
                  <a16:creationId xmlns:a16="http://schemas.microsoft.com/office/drawing/2014/main" id="{ACB0352F-59FE-4551-80AB-3B026A21A6C8}"/>
                </a:ext>
              </a:extLst>
            </xdr:cNvPr>
            <xdr:cNvPicPr>
              <a:picLocks noChangeAspect="1"/>
              <a:extLst>
                <a:ext uri="{84589F7E-364E-4C9E-8A38-B11213B215E9}">
                  <a14:cameraTool cellRange="bilde_1" spid="_x0000_s2360"/>
                </a:ext>
              </a:extLst>
            </xdr:cNvPicPr>
          </xdr:nvPicPr>
          <xdr:blipFill>
            <a:blip xmlns:r="http://schemas.openxmlformats.org/officeDocument/2006/relationships" r:embed="rId11"/>
            <a:stretch>
              <a:fillRect/>
            </a:stretch>
          </xdr:blipFill>
          <xdr:spPr>
            <a:xfrm>
              <a:off x="10640786" y="16933855"/>
              <a:ext cx="612321" cy="176893"/>
            </a:xfrm>
            <a:prstGeom prst="rect">
              <a:avLst/>
            </a:prstGeom>
          </xdr:spPr>
        </xdr:pic>
        <xdr:clientData/>
      </xdr:twoCellAnchor>
    </mc:Choice>
    <mc:Fallback/>
  </mc:AlternateContent>
  <xdr:twoCellAnchor>
    <xdr:from>
      <xdr:col>2</xdr:col>
      <xdr:colOff>20411</xdr:colOff>
      <xdr:row>102</xdr:row>
      <xdr:rowOff>128389</xdr:rowOff>
    </xdr:from>
    <xdr:to>
      <xdr:col>8</xdr:col>
      <xdr:colOff>347383</xdr:colOff>
      <xdr:row>134</xdr:row>
      <xdr:rowOff>152881</xdr:rowOff>
    </xdr:to>
    <xdr:graphicFrame macro="">
      <xdr:nvGraphicFramePr>
        <xdr:cNvPr id="38" name="Chart 37">
          <a:extLst>
            <a:ext uri="{FF2B5EF4-FFF2-40B4-BE49-F238E27FC236}">
              <a16:creationId xmlns:a16="http://schemas.microsoft.com/office/drawing/2014/main" id="{395CE1C1-3A3D-C36D-1B1C-86E9B07D55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mc:AlternateContent xmlns:mc="http://schemas.openxmlformats.org/markup-compatibility/2006">
    <mc:Choice xmlns:a14="http://schemas.microsoft.com/office/drawing/2010/main" Requires="a14">
      <xdr:twoCellAnchor editAs="oneCell">
        <xdr:from>
          <xdr:col>8</xdr:col>
          <xdr:colOff>366348</xdr:colOff>
          <xdr:row>116</xdr:row>
          <xdr:rowOff>432</xdr:rowOff>
        </xdr:from>
        <xdr:to>
          <xdr:col>9</xdr:col>
          <xdr:colOff>12562</xdr:colOff>
          <xdr:row>117</xdr:row>
          <xdr:rowOff>432</xdr:rowOff>
        </xdr:to>
        <xdr:pic>
          <xdr:nvPicPr>
            <xdr:cNvPr id="50" name="Picture 49">
              <a:extLst>
                <a:ext uri="{FF2B5EF4-FFF2-40B4-BE49-F238E27FC236}">
                  <a16:creationId xmlns:a16="http://schemas.microsoft.com/office/drawing/2014/main" id="{60757A9E-5909-4780-ADD9-74218C288582}"/>
                </a:ext>
              </a:extLst>
            </xdr:cNvPr>
            <xdr:cNvPicPr>
              <a:picLocks noChangeAspect="1"/>
              <a:extLst>
                <a:ext uri="{84589F7E-364E-4C9E-8A38-B11213B215E9}">
                  <a14:cameraTool cellRange="linje_1" spid="_x0000_s2361"/>
                </a:ext>
              </a:extLst>
            </xdr:cNvPicPr>
          </xdr:nvPicPr>
          <xdr:blipFill>
            <a:blip xmlns:r="http://schemas.openxmlformats.org/officeDocument/2006/relationships" r:embed="rId13"/>
            <a:stretch>
              <a:fillRect/>
            </a:stretch>
          </xdr:blipFill>
          <xdr:spPr>
            <a:xfrm>
              <a:off x="10626134" y="23799325"/>
              <a:ext cx="612321" cy="17689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365051</xdr:colOff>
          <xdr:row>116</xdr:row>
          <xdr:rowOff>167657</xdr:rowOff>
        </xdr:from>
        <xdr:to>
          <xdr:col>9</xdr:col>
          <xdr:colOff>11265</xdr:colOff>
          <xdr:row>117</xdr:row>
          <xdr:rowOff>167657</xdr:rowOff>
        </xdr:to>
        <xdr:pic>
          <xdr:nvPicPr>
            <xdr:cNvPr id="51" name="Picture 50">
              <a:extLst>
                <a:ext uri="{FF2B5EF4-FFF2-40B4-BE49-F238E27FC236}">
                  <a16:creationId xmlns:a16="http://schemas.microsoft.com/office/drawing/2014/main" id="{830109B0-0279-4B66-8CC3-8343742CC8E4}"/>
                </a:ext>
              </a:extLst>
            </xdr:cNvPr>
            <xdr:cNvPicPr>
              <a:picLocks noChangeAspect="1"/>
              <a:extLst>
                <a:ext uri="{84589F7E-364E-4C9E-8A38-B11213B215E9}">
                  <a14:cameraTool cellRange="linje_2" spid="_x0000_s2362"/>
                </a:ext>
              </a:extLst>
            </xdr:cNvPicPr>
          </xdr:nvPicPr>
          <xdr:blipFill>
            <a:blip xmlns:r="http://schemas.openxmlformats.org/officeDocument/2006/relationships" r:embed="rId14"/>
            <a:stretch>
              <a:fillRect/>
            </a:stretch>
          </xdr:blipFill>
          <xdr:spPr>
            <a:xfrm>
              <a:off x="10624837" y="23966550"/>
              <a:ext cx="612321" cy="17689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364191</xdr:colOff>
          <xdr:row>117</xdr:row>
          <xdr:rowOff>166363</xdr:rowOff>
        </xdr:from>
        <xdr:to>
          <xdr:col>9</xdr:col>
          <xdr:colOff>10405</xdr:colOff>
          <xdr:row>118</xdr:row>
          <xdr:rowOff>166363</xdr:rowOff>
        </xdr:to>
        <xdr:pic>
          <xdr:nvPicPr>
            <xdr:cNvPr id="52" name="Picture 51">
              <a:extLst>
                <a:ext uri="{FF2B5EF4-FFF2-40B4-BE49-F238E27FC236}">
                  <a16:creationId xmlns:a16="http://schemas.microsoft.com/office/drawing/2014/main" id="{E86C9539-3C47-46E1-9C9C-18B8A8EB563D}"/>
                </a:ext>
              </a:extLst>
            </xdr:cNvPr>
            <xdr:cNvPicPr>
              <a:picLocks noChangeAspect="1"/>
              <a:extLst>
                <a:ext uri="{84589F7E-364E-4C9E-8A38-B11213B215E9}">
                  <a14:cameraTool cellRange="linje_3" spid="_x0000_s2363"/>
                </a:ext>
              </a:extLst>
            </xdr:cNvPicPr>
          </xdr:nvPicPr>
          <xdr:blipFill>
            <a:blip xmlns:r="http://schemas.openxmlformats.org/officeDocument/2006/relationships" r:embed="rId15"/>
            <a:stretch>
              <a:fillRect/>
            </a:stretch>
          </xdr:blipFill>
          <xdr:spPr>
            <a:xfrm>
              <a:off x="10623977" y="24142149"/>
              <a:ext cx="612321" cy="17689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380353</xdr:colOff>
          <xdr:row>119</xdr:row>
          <xdr:rowOff>1970</xdr:rowOff>
        </xdr:from>
        <xdr:to>
          <xdr:col>9</xdr:col>
          <xdr:colOff>26567</xdr:colOff>
          <xdr:row>120</xdr:row>
          <xdr:rowOff>1970</xdr:rowOff>
        </xdr:to>
        <xdr:pic>
          <xdr:nvPicPr>
            <xdr:cNvPr id="53" name="Picture 52">
              <a:extLst>
                <a:ext uri="{FF2B5EF4-FFF2-40B4-BE49-F238E27FC236}">
                  <a16:creationId xmlns:a16="http://schemas.microsoft.com/office/drawing/2014/main" id="{9695C2BB-A2AD-4468-856D-86DD96B8EF5F}"/>
                </a:ext>
              </a:extLst>
            </xdr:cNvPr>
            <xdr:cNvPicPr>
              <a:picLocks noChangeAspect="1"/>
              <a:extLst>
                <a:ext uri="{84589F7E-364E-4C9E-8A38-B11213B215E9}">
                  <a14:cameraTool cellRange="linje_4" spid="_x0000_s2364"/>
                </a:ext>
              </a:extLst>
            </xdr:cNvPicPr>
          </xdr:nvPicPr>
          <xdr:blipFill>
            <a:blip xmlns:r="http://schemas.openxmlformats.org/officeDocument/2006/relationships" r:embed="rId16"/>
            <a:stretch>
              <a:fillRect/>
            </a:stretch>
          </xdr:blipFill>
          <xdr:spPr>
            <a:xfrm>
              <a:off x="10656147" y="24576470"/>
              <a:ext cx="609920" cy="179294"/>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363760</xdr:colOff>
          <xdr:row>120</xdr:row>
          <xdr:rowOff>19394</xdr:rowOff>
        </xdr:from>
        <xdr:to>
          <xdr:col>9</xdr:col>
          <xdr:colOff>9974</xdr:colOff>
          <xdr:row>121</xdr:row>
          <xdr:rowOff>19394</xdr:rowOff>
        </xdr:to>
        <xdr:pic>
          <xdr:nvPicPr>
            <xdr:cNvPr id="54" name="Picture 53">
              <a:extLst>
                <a:ext uri="{FF2B5EF4-FFF2-40B4-BE49-F238E27FC236}">
                  <a16:creationId xmlns:a16="http://schemas.microsoft.com/office/drawing/2014/main" id="{878B9EB6-E606-45BF-8204-FC098483235C}"/>
                </a:ext>
              </a:extLst>
            </xdr:cNvPr>
            <xdr:cNvPicPr>
              <a:picLocks noChangeAspect="1"/>
              <a:extLst>
                <a:ext uri="{84589F7E-364E-4C9E-8A38-B11213B215E9}">
                  <a14:cameraTool cellRange="linje_5" spid="_x0000_s2365"/>
                </a:ext>
              </a:extLst>
            </xdr:cNvPicPr>
          </xdr:nvPicPr>
          <xdr:blipFill>
            <a:blip xmlns:r="http://schemas.openxmlformats.org/officeDocument/2006/relationships" r:embed="rId17"/>
            <a:stretch>
              <a:fillRect/>
            </a:stretch>
          </xdr:blipFill>
          <xdr:spPr>
            <a:xfrm>
              <a:off x="10623546" y="24525858"/>
              <a:ext cx="612321" cy="176893"/>
            </a:xfrm>
            <a:prstGeom prst="rect">
              <a:avLst/>
            </a:prstGeom>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7</xdr:col>
      <xdr:colOff>424962</xdr:colOff>
      <xdr:row>8</xdr:row>
      <xdr:rowOff>29307</xdr:rowOff>
    </xdr:from>
    <xdr:ext cx="142895" cy="142895"/>
    <xdr:pic>
      <xdr:nvPicPr>
        <xdr:cNvPr id="2" name="Picture 1">
          <a:extLst>
            <a:ext uri="{FF2B5EF4-FFF2-40B4-BE49-F238E27FC236}">
              <a16:creationId xmlns:a16="http://schemas.microsoft.com/office/drawing/2014/main" id="{1339433D-3410-4000-8183-E7CAA0058D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70112" y="17240982"/>
          <a:ext cx="142895" cy="142895"/>
        </a:xfrm>
        <a:prstGeom prst="rect">
          <a:avLst/>
        </a:prstGeom>
      </xdr:spPr>
    </xdr:pic>
    <xdr:clientData/>
  </xdr:oneCellAnchor>
  <xdr:oneCellAnchor>
    <xdr:from>
      <xdr:col>7</xdr:col>
      <xdr:colOff>424962</xdr:colOff>
      <xdr:row>9</xdr:row>
      <xdr:rowOff>29308</xdr:rowOff>
    </xdr:from>
    <xdr:ext cx="142895" cy="142895"/>
    <xdr:pic>
      <xdr:nvPicPr>
        <xdr:cNvPr id="3" name="Picture 2">
          <a:extLst>
            <a:ext uri="{FF2B5EF4-FFF2-40B4-BE49-F238E27FC236}">
              <a16:creationId xmlns:a16="http://schemas.microsoft.com/office/drawing/2014/main" id="{047C361D-D76E-45B9-A0A1-26C9BEA9E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70112" y="17421958"/>
          <a:ext cx="142895" cy="142895"/>
        </a:xfrm>
        <a:prstGeom prst="rect">
          <a:avLst/>
        </a:prstGeom>
      </xdr:spPr>
    </xdr:pic>
    <xdr:clientData/>
  </xdr:oneCellAnchor>
  <xdr:oneCellAnchor>
    <xdr:from>
      <xdr:col>7</xdr:col>
      <xdr:colOff>434578</xdr:colOff>
      <xdr:row>10</xdr:row>
      <xdr:rowOff>23812</xdr:rowOff>
    </xdr:from>
    <xdr:ext cx="142895" cy="142895"/>
    <xdr:pic>
      <xdr:nvPicPr>
        <xdr:cNvPr id="4" name="Picture 3">
          <a:extLst>
            <a:ext uri="{FF2B5EF4-FFF2-40B4-BE49-F238E27FC236}">
              <a16:creationId xmlns:a16="http://schemas.microsoft.com/office/drawing/2014/main" id="{B949881F-28BA-4295-8882-DFBE571F7B10}"/>
            </a:ext>
          </a:extLst>
        </xdr:cNvPr>
        <xdr:cNvPicPr>
          <a:picLocks noChangeAspect="1"/>
        </xdr:cNvPicPr>
      </xdr:nvPicPr>
      <xdr:blipFill>
        <a:blip xmlns:r="http://schemas.openxmlformats.org/officeDocument/2006/relationships" r:embed="rId3"/>
        <a:stretch>
          <a:fillRect/>
        </a:stretch>
      </xdr:blipFill>
      <xdr:spPr>
        <a:xfrm>
          <a:off x="18779728" y="17597437"/>
          <a:ext cx="142895" cy="142895"/>
        </a:xfrm>
        <a:prstGeom prst="rect">
          <a:avLst/>
        </a:prstGeom>
      </xdr:spPr>
    </xdr:pic>
    <xdr:clientData/>
  </xdr:oneCellAnchor>
  <xdr:oneCellAnchor>
    <xdr:from>
      <xdr:col>7</xdr:col>
      <xdr:colOff>440531</xdr:colOff>
      <xdr:row>11</xdr:row>
      <xdr:rowOff>17859</xdr:rowOff>
    </xdr:from>
    <xdr:ext cx="142895" cy="142895"/>
    <xdr:pic>
      <xdr:nvPicPr>
        <xdr:cNvPr id="5" name="Picture 4">
          <a:extLst>
            <a:ext uri="{FF2B5EF4-FFF2-40B4-BE49-F238E27FC236}">
              <a16:creationId xmlns:a16="http://schemas.microsoft.com/office/drawing/2014/main" id="{ABF51FA6-6877-43B3-93FF-73254CBC7084}"/>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8785681" y="17772459"/>
          <a:ext cx="142895" cy="142895"/>
        </a:xfrm>
        <a:prstGeom prst="rect">
          <a:avLst/>
        </a:prstGeom>
      </xdr:spPr>
    </xdr:pic>
    <xdr:clientData/>
  </xdr:oneCellAnchor>
  <xdr:oneCellAnchor>
    <xdr:from>
      <xdr:col>7</xdr:col>
      <xdr:colOff>458390</xdr:colOff>
      <xdr:row>12</xdr:row>
      <xdr:rowOff>29766</xdr:rowOff>
    </xdr:from>
    <xdr:ext cx="123842" cy="123842"/>
    <xdr:pic>
      <xdr:nvPicPr>
        <xdr:cNvPr id="6" name="Picture 5">
          <a:extLst>
            <a:ext uri="{FF2B5EF4-FFF2-40B4-BE49-F238E27FC236}">
              <a16:creationId xmlns:a16="http://schemas.microsoft.com/office/drawing/2014/main" id="{45D80CED-FEED-4265-8FCF-4056956C44B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8803540" y="17965341"/>
          <a:ext cx="123842" cy="123842"/>
        </a:xfrm>
        <a:prstGeom prst="rect">
          <a:avLst/>
        </a:prstGeom>
      </xdr:spPr>
    </xdr:pic>
    <xdr:clientData/>
  </xdr:oneCellAnchor>
  <xdr:oneCellAnchor>
    <xdr:from>
      <xdr:col>6</xdr:col>
      <xdr:colOff>285750</xdr:colOff>
      <xdr:row>26</xdr:row>
      <xdr:rowOff>51954</xdr:rowOff>
    </xdr:from>
    <xdr:ext cx="295316" cy="57158"/>
    <xdr:pic>
      <xdr:nvPicPr>
        <xdr:cNvPr id="7" name="Picture 6">
          <a:extLst>
            <a:ext uri="{FF2B5EF4-FFF2-40B4-BE49-F238E27FC236}">
              <a16:creationId xmlns:a16="http://schemas.microsoft.com/office/drawing/2014/main" id="{ED076753-487C-419A-B577-689D17ED646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9240500" y="25340829"/>
          <a:ext cx="295316" cy="57158"/>
        </a:xfrm>
        <a:prstGeom prst="rect">
          <a:avLst/>
        </a:prstGeom>
      </xdr:spPr>
    </xdr:pic>
    <xdr:clientData/>
  </xdr:oneCellAnchor>
  <xdr:oneCellAnchor>
    <xdr:from>
      <xdr:col>6</xdr:col>
      <xdr:colOff>281421</xdr:colOff>
      <xdr:row>27</xdr:row>
      <xdr:rowOff>56284</xdr:rowOff>
    </xdr:from>
    <xdr:ext cx="285790" cy="57158"/>
    <xdr:pic>
      <xdr:nvPicPr>
        <xdr:cNvPr id="8" name="Picture 7">
          <a:extLst>
            <a:ext uri="{FF2B5EF4-FFF2-40B4-BE49-F238E27FC236}">
              <a16:creationId xmlns:a16="http://schemas.microsoft.com/office/drawing/2014/main" id="{CB774BF0-0861-459A-A8D8-8008D37A9719}"/>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9236171" y="25526134"/>
          <a:ext cx="285790" cy="57158"/>
        </a:xfrm>
        <a:prstGeom prst="rect">
          <a:avLst/>
        </a:prstGeom>
      </xdr:spPr>
    </xdr:pic>
    <xdr:clientData/>
  </xdr:oneCellAnchor>
  <xdr:oneCellAnchor>
    <xdr:from>
      <xdr:col>6</xdr:col>
      <xdr:colOff>272761</xdr:colOff>
      <xdr:row>28</xdr:row>
      <xdr:rowOff>64943</xdr:rowOff>
    </xdr:from>
    <xdr:ext cx="295316" cy="57158"/>
    <xdr:pic>
      <xdr:nvPicPr>
        <xdr:cNvPr id="9" name="Picture 8">
          <a:extLst>
            <a:ext uri="{FF2B5EF4-FFF2-40B4-BE49-F238E27FC236}">
              <a16:creationId xmlns:a16="http://schemas.microsoft.com/office/drawing/2014/main" id="{2B37F094-AA2A-4189-B950-22B96632D96F}"/>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9227511" y="25715768"/>
          <a:ext cx="295316" cy="57158"/>
        </a:xfrm>
        <a:prstGeom prst="rect">
          <a:avLst/>
        </a:prstGeom>
      </xdr:spPr>
    </xdr:pic>
    <xdr:clientData/>
  </xdr:oneCellAnchor>
  <xdr:oneCellAnchor>
    <xdr:from>
      <xdr:col>6</xdr:col>
      <xdr:colOff>268432</xdr:colOff>
      <xdr:row>29</xdr:row>
      <xdr:rowOff>51954</xdr:rowOff>
    </xdr:from>
    <xdr:ext cx="295316" cy="57158"/>
    <xdr:pic>
      <xdr:nvPicPr>
        <xdr:cNvPr id="10" name="Picture 9">
          <a:extLst>
            <a:ext uri="{FF2B5EF4-FFF2-40B4-BE49-F238E27FC236}">
              <a16:creationId xmlns:a16="http://schemas.microsoft.com/office/drawing/2014/main" id="{756D956A-27D3-4EED-84E9-984C96889CB6}"/>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9223182" y="25883754"/>
          <a:ext cx="295316" cy="57158"/>
        </a:xfrm>
        <a:prstGeom prst="rect">
          <a:avLst/>
        </a:prstGeom>
      </xdr:spPr>
    </xdr:pic>
    <xdr:clientData/>
  </xdr:oneCellAnchor>
  <xdr:oneCellAnchor>
    <xdr:from>
      <xdr:col>6</xdr:col>
      <xdr:colOff>264102</xdr:colOff>
      <xdr:row>30</xdr:row>
      <xdr:rowOff>47625</xdr:rowOff>
    </xdr:from>
    <xdr:ext cx="295316" cy="57158"/>
    <xdr:pic>
      <xdr:nvPicPr>
        <xdr:cNvPr id="11" name="Picture 10">
          <a:extLst>
            <a:ext uri="{FF2B5EF4-FFF2-40B4-BE49-F238E27FC236}">
              <a16:creationId xmlns:a16="http://schemas.microsoft.com/office/drawing/2014/main" id="{9D21E6F9-71B4-4D9C-BFDD-3A28FC49A929}"/>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9218852" y="26060400"/>
          <a:ext cx="295316" cy="5715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3</xdr:col>
      <xdr:colOff>2762250</xdr:colOff>
      <xdr:row>1</xdr:row>
      <xdr:rowOff>54429</xdr:rowOff>
    </xdr:from>
    <xdr:to>
      <xdr:col>3</xdr:col>
      <xdr:colOff>4715547</xdr:colOff>
      <xdr:row>6</xdr:row>
      <xdr:rowOff>48581</xdr:rowOff>
    </xdr:to>
    <xdr:pic>
      <xdr:nvPicPr>
        <xdr:cNvPr id="3" name="Picture 2">
          <a:extLst>
            <a:ext uri="{FF2B5EF4-FFF2-40B4-BE49-F238E27FC236}">
              <a16:creationId xmlns:a16="http://schemas.microsoft.com/office/drawing/2014/main" id="{E7FAD4A6-FBB9-4C23-AA21-26618C6739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5393" y="272143"/>
          <a:ext cx="1949487" cy="12966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398319</xdr:colOff>
      <xdr:row>0</xdr:row>
      <xdr:rowOff>69273</xdr:rowOff>
    </xdr:from>
    <xdr:to>
      <xdr:col>15</xdr:col>
      <xdr:colOff>104736</xdr:colOff>
      <xdr:row>5</xdr:row>
      <xdr:rowOff>132165</xdr:rowOff>
    </xdr:to>
    <xdr:pic>
      <xdr:nvPicPr>
        <xdr:cNvPr id="4" name="Picture 3">
          <a:extLst>
            <a:ext uri="{FF2B5EF4-FFF2-40B4-BE49-F238E27FC236}">
              <a16:creationId xmlns:a16="http://schemas.microsoft.com/office/drawing/2014/main" id="{160664C7-3B13-A996-187E-F74F674069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63455" y="69273"/>
          <a:ext cx="1956954" cy="132889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398319</xdr:colOff>
      <xdr:row>0</xdr:row>
      <xdr:rowOff>69273</xdr:rowOff>
    </xdr:from>
    <xdr:to>
      <xdr:col>15</xdr:col>
      <xdr:colOff>284</xdr:colOff>
      <xdr:row>6</xdr:row>
      <xdr:rowOff>46984</xdr:rowOff>
    </xdr:to>
    <xdr:pic>
      <xdr:nvPicPr>
        <xdr:cNvPr id="2" name="Picture 1">
          <a:extLst>
            <a:ext uri="{FF2B5EF4-FFF2-40B4-BE49-F238E27FC236}">
              <a16:creationId xmlns:a16="http://schemas.microsoft.com/office/drawing/2014/main" id="{59F847E4-31C9-4AD2-A615-8C670C91A4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57469" y="69273"/>
          <a:ext cx="1943963" cy="12859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398319</xdr:colOff>
      <xdr:row>0</xdr:row>
      <xdr:rowOff>69273</xdr:rowOff>
    </xdr:from>
    <xdr:to>
      <xdr:col>15</xdr:col>
      <xdr:colOff>284</xdr:colOff>
      <xdr:row>6</xdr:row>
      <xdr:rowOff>48889</xdr:rowOff>
    </xdr:to>
    <xdr:pic>
      <xdr:nvPicPr>
        <xdr:cNvPr id="2" name="Picture 1">
          <a:extLst>
            <a:ext uri="{FF2B5EF4-FFF2-40B4-BE49-F238E27FC236}">
              <a16:creationId xmlns:a16="http://schemas.microsoft.com/office/drawing/2014/main" id="{229DA111-6B6A-41E5-B543-FE6C94753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57469" y="69273"/>
          <a:ext cx="1943963" cy="128590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398319</xdr:colOff>
      <xdr:row>0</xdr:row>
      <xdr:rowOff>69273</xdr:rowOff>
    </xdr:from>
    <xdr:to>
      <xdr:col>15</xdr:col>
      <xdr:colOff>284</xdr:colOff>
      <xdr:row>6</xdr:row>
      <xdr:rowOff>48889</xdr:rowOff>
    </xdr:to>
    <xdr:pic>
      <xdr:nvPicPr>
        <xdr:cNvPr id="2" name="Picture 1">
          <a:extLst>
            <a:ext uri="{FF2B5EF4-FFF2-40B4-BE49-F238E27FC236}">
              <a16:creationId xmlns:a16="http://schemas.microsoft.com/office/drawing/2014/main" id="{F04B27D5-0629-48DE-BE40-0CF88C7304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57469" y="69273"/>
          <a:ext cx="1943963" cy="12859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398319</xdr:colOff>
      <xdr:row>0</xdr:row>
      <xdr:rowOff>69273</xdr:rowOff>
    </xdr:from>
    <xdr:to>
      <xdr:col>15</xdr:col>
      <xdr:colOff>284</xdr:colOff>
      <xdr:row>6</xdr:row>
      <xdr:rowOff>48889</xdr:rowOff>
    </xdr:to>
    <xdr:pic>
      <xdr:nvPicPr>
        <xdr:cNvPr id="2" name="Picture 1">
          <a:extLst>
            <a:ext uri="{FF2B5EF4-FFF2-40B4-BE49-F238E27FC236}">
              <a16:creationId xmlns:a16="http://schemas.microsoft.com/office/drawing/2014/main" id="{23707125-FB2A-4D98-8BDC-03C5464C34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57469" y="69273"/>
          <a:ext cx="1943963" cy="128590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SF">
    <a:dk1>
      <a:srgbClr val="000000"/>
    </a:dk1>
    <a:lt1>
      <a:srgbClr val="FFFFFF"/>
    </a:lt1>
    <a:dk2>
      <a:srgbClr val="2A2859"/>
    </a:dk2>
    <a:lt2>
      <a:srgbClr val="F8F0DD"/>
    </a:lt2>
    <a:accent1>
      <a:srgbClr val="034B45"/>
    </a:accent1>
    <a:accent2>
      <a:srgbClr val="4EF8B6"/>
    </a:accent2>
    <a:accent3>
      <a:srgbClr val="C7F6C9"/>
    </a:accent3>
    <a:accent4>
      <a:srgbClr val="6FE9FF"/>
    </a:accent4>
    <a:accent5>
      <a:srgbClr val="FF8274"/>
    </a:accent5>
    <a:accent6>
      <a:srgbClr val="F9C66B"/>
    </a:accent6>
    <a:hlink>
      <a:srgbClr val="000000"/>
    </a:hlink>
    <a:folHlink>
      <a:srgbClr val="000000"/>
    </a:folHlink>
  </a:clrScheme>
  <a:fontScheme name="OSF">
    <a:majorFont>
      <a:latin typeface="Oslo Sans Office"/>
      <a:ea typeface=""/>
      <a:cs typeface=""/>
    </a:majorFont>
    <a:minorFont>
      <a:latin typeface="Oslo Sans Offi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SF">
    <a:dk1>
      <a:srgbClr val="000000"/>
    </a:dk1>
    <a:lt1>
      <a:srgbClr val="FFFFFF"/>
    </a:lt1>
    <a:dk2>
      <a:srgbClr val="2A2859"/>
    </a:dk2>
    <a:lt2>
      <a:srgbClr val="F8F0DD"/>
    </a:lt2>
    <a:accent1>
      <a:srgbClr val="034B45"/>
    </a:accent1>
    <a:accent2>
      <a:srgbClr val="4EF8B6"/>
    </a:accent2>
    <a:accent3>
      <a:srgbClr val="C7F6C9"/>
    </a:accent3>
    <a:accent4>
      <a:srgbClr val="6FE9FF"/>
    </a:accent4>
    <a:accent5>
      <a:srgbClr val="FF8274"/>
    </a:accent5>
    <a:accent6>
      <a:srgbClr val="F9C66B"/>
    </a:accent6>
    <a:hlink>
      <a:srgbClr val="000000"/>
    </a:hlink>
    <a:folHlink>
      <a:srgbClr val="000000"/>
    </a:folHlink>
  </a:clrScheme>
  <a:fontScheme name="OSF">
    <a:majorFont>
      <a:latin typeface="Oslo Sans Office"/>
      <a:ea typeface=""/>
      <a:cs typeface=""/>
    </a:majorFont>
    <a:minorFont>
      <a:latin typeface="Oslo Sans Offi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SF">
    <a:dk1>
      <a:srgbClr val="000000"/>
    </a:dk1>
    <a:lt1>
      <a:srgbClr val="FFFFFF"/>
    </a:lt1>
    <a:dk2>
      <a:srgbClr val="2A2859"/>
    </a:dk2>
    <a:lt2>
      <a:srgbClr val="F8F0DD"/>
    </a:lt2>
    <a:accent1>
      <a:srgbClr val="034B45"/>
    </a:accent1>
    <a:accent2>
      <a:srgbClr val="4EF8B6"/>
    </a:accent2>
    <a:accent3>
      <a:srgbClr val="C7F6C9"/>
    </a:accent3>
    <a:accent4>
      <a:srgbClr val="6FE9FF"/>
    </a:accent4>
    <a:accent5>
      <a:srgbClr val="FF8274"/>
    </a:accent5>
    <a:accent6>
      <a:srgbClr val="F9C66B"/>
    </a:accent6>
    <a:hlink>
      <a:srgbClr val="000000"/>
    </a:hlink>
    <a:folHlink>
      <a:srgbClr val="000000"/>
    </a:folHlink>
  </a:clrScheme>
  <a:fontScheme name="OSF">
    <a:majorFont>
      <a:latin typeface="Oslo Sans Office"/>
      <a:ea typeface=""/>
      <a:cs typeface=""/>
    </a:majorFont>
    <a:minorFont>
      <a:latin typeface="Oslo Sans Offi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SF">
    <a:dk1>
      <a:srgbClr val="000000"/>
    </a:dk1>
    <a:lt1>
      <a:srgbClr val="FFFFFF"/>
    </a:lt1>
    <a:dk2>
      <a:srgbClr val="2A2859"/>
    </a:dk2>
    <a:lt2>
      <a:srgbClr val="F8F0DD"/>
    </a:lt2>
    <a:accent1>
      <a:srgbClr val="034B45"/>
    </a:accent1>
    <a:accent2>
      <a:srgbClr val="4EF8B6"/>
    </a:accent2>
    <a:accent3>
      <a:srgbClr val="C7F6C9"/>
    </a:accent3>
    <a:accent4>
      <a:srgbClr val="6FE9FF"/>
    </a:accent4>
    <a:accent5>
      <a:srgbClr val="FF8274"/>
    </a:accent5>
    <a:accent6>
      <a:srgbClr val="F9C66B"/>
    </a:accent6>
    <a:hlink>
      <a:srgbClr val="000000"/>
    </a:hlink>
    <a:folHlink>
      <a:srgbClr val="000000"/>
    </a:folHlink>
  </a:clrScheme>
  <a:fontScheme name="OSF">
    <a:majorFont>
      <a:latin typeface="Oslo Sans Office"/>
      <a:ea typeface=""/>
      <a:cs typeface=""/>
    </a:majorFont>
    <a:minorFont>
      <a:latin typeface="Oslo Sans Offi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FEE2E-DF19-4B87-A304-E8511404FFE6}">
  <sheetPr codeName="Sheet1">
    <pageSetUpPr fitToPage="1"/>
  </sheetPr>
  <dimension ref="B3:W47"/>
  <sheetViews>
    <sheetView showGridLines="0" tabSelected="1" zoomScaleNormal="100" workbookViewId="0">
      <selection activeCell="B12" sqref="B12:M12"/>
    </sheetView>
  </sheetViews>
  <sheetFormatPr defaultColWidth="9.140625" defaultRowHeight="15"/>
  <cols>
    <col min="2" max="2" width="39.140625" customWidth="1"/>
    <col min="3" max="3" width="14.5703125" customWidth="1"/>
  </cols>
  <sheetData>
    <row r="3" spans="2:23" ht="27">
      <c r="B3" s="1" t="s">
        <v>0</v>
      </c>
      <c r="C3" s="2"/>
      <c r="D3" s="2"/>
      <c r="E3" s="2"/>
      <c r="F3" s="2"/>
      <c r="G3" s="2"/>
      <c r="H3" s="2"/>
      <c r="I3" s="2"/>
      <c r="J3" s="2"/>
      <c r="K3" s="2"/>
      <c r="L3" s="2"/>
      <c r="M3" s="2"/>
      <c r="N3" s="2"/>
      <c r="O3" s="2"/>
      <c r="P3" s="2"/>
      <c r="Q3" s="2"/>
      <c r="R3" s="2"/>
      <c r="S3" s="2"/>
      <c r="T3" s="2"/>
      <c r="U3" s="2"/>
      <c r="V3" s="2"/>
      <c r="W3" s="2"/>
    </row>
    <row r="4" spans="2:23">
      <c r="B4" s="2"/>
      <c r="C4" s="2"/>
      <c r="D4" s="2"/>
      <c r="E4" s="2"/>
      <c r="F4" s="2"/>
      <c r="G4" s="2"/>
      <c r="H4" s="2"/>
      <c r="I4" s="2"/>
      <c r="J4" s="2"/>
      <c r="K4" s="2"/>
      <c r="L4" s="2"/>
      <c r="M4" s="2"/>
      <c r="N4" s="2"/>
      <c r="O4" s="2"/>
      <c r="P4" s="2"/>
      <c r="Q4" s="2"/>
      <c r="R4" s="2"/>
      <c r="S4" s="2"/>
      <c r="T4" s="2"/>
      <c r="U4" s="2"/>
      <c r="V4" s="2"/>
      <c r="W4" s="2"/>
    </row>
    <row r="5" spans="2:23" ht="15" customHeight="1">
      <c r="B5" s="3" t="s">
        <v>1</v>
      </c>
      <c r="C5" s="2">
        <f>B37</f>
        <v>2</v>
      </c>
      <c r="D5" s="2"/>
      <c r="E5" s="2"/>
      <c r="F5" s="2"/>
      <c r="G5" s="2"/>
      <c r="H5" s="2"/>
      <c r="I5" s="2"/>
      <c r="J5" s="2"/>
      <c r="K5" s="2"/>
      <c r="L5" s="2"/>
      <c r="M5" s="2"/>
      <c r="N5" s="2"/>
      <c r="O5" s="2"/>
      <c r="P5" s="2"/>
      <c r="Q5" s="2"/>
      <c r="R5" s="2"/>
      <c r="S5" s="2"/>
      <c r="T5" s="2"/>
      <c r="U5" s="2"/>
      <c r="V5" s="2"/>
      <c r="W5" s="2"/>
    </row>
    <row r="6" spans="2:23">
      <c r="B6" s="3" t="s">
        <v>2</v>
      </c>
      <c r="C6" s="4">
        <f>C37</f>
        <v>46006</v>
      </c>
      <c r="D6" s="2"/>
      <c r="E6" s="2"/>
      <c r="F6" s="2"/>
      <c r="G6" s="2"/>
      <c r="H6" s="2"/>
      <c r="I6" s="2"/>
      <c r="J6" s="2"/>
      <c r="K6" s="2"/>
      <c r="L6" s="2"/>
      <c r="M6" s="2"/>
      <c r="N6" s="2"/>
      <c r="O6" s="2"/>
      <c r="P6" s="2"/>
      <c r="Q6" s="2"/>
      <c r="R6" s="2"/>
      <c r="S6" s="2"/>
      <c r="T6" s="2"/>
      <c r="U6" s="2"/>
      <c r="V6" s="2"/>
      <c r="W6" s="2"/>
    </row>
    <row r="7" spans="2:23">
      <c r="B7" s="2"/>
      <c r="C7" s="2"/>
      <c r="D7" s="2"/>
      <c r="E7" s="2"/>
      <c r="F7" s="2"/>
      <c r="G7" s="2"/>
      <c r="H7" s="2"/>
      <c r="I7" s="2"/>
      <c r="J7" s="2"/>
      <c r="K7" s="2"/>
      <c r="L7" s="2"/>
      <c r="M7" s="2"/>
      <c r="N7" s="2"/>
      <c r="O7" s="2"/>
      <c r="P7" s="5" t="s">
        <v>3</v>
      </c>
      <c r="Q7" s="2"/>
      <c r="R7" s="2"/>
      <c r="S7" s="2"/>
      <c r="T7" s="2"/>
      <c r="U7" s="2"/>
      <c r="V7" s="2"/>
      <c r="W7" s="2"/>
    </row>
    <row r="8" spans="2:23">
      <c r="B8" s="2"/>
      <c r="C8" s="2"/>
      <c r="D8" s="2"/>
      <c r="E8" s="2"/>
      <c r="F8" s="2"/>
      <c r="G8" s="2"/>
      <c r="H8" s="2"/>
      <c r="I8" s="2"/>
      <c r="J8" s="2"/>
      <c r="K8" s="2"/>
      <c r="L8" s="2"/>
      <c r="M8" s="2"/>
      <c r="N8" s="2"/>
      <c r="O8" s="2"/>
      <c r="P8" s="2"/>
      <c r="Q8" s="2"/>
      <c r="R8" s="2"/>
      <c r="S8" s="2"/>
      <c r="T8" s="2"/>
      <c r="U8" s="2"/>
      <c r="V8" s="2"/>
      <c r="W8" s="2"/>
    </row>
    <row r="9" spans="2:23">
      <c r="B9" s="5" t="s">
        <v>4</v>
      </c>
      <c r="C9" s="2"/>
      <c r="D9" s="2"/>
      <c r="E9" s="2"/>
      <c r="F9" s="2"/>
      <c r="G9" s="2"/>
      <c r="H9" s="2"/>
      <c r="I9" s="2"/>
      <c r="J9" s="2"/>
      <c r="K9" s="2"/>
      <c r="L9" s="2"/>
      <c r="M9" s="2"/>
      <c r="N9" s="2"/>
      <c r="O9" s="2"/>
      <c r="P9" s="2"/>
      <c r="Q9" s="2"/>
      <c r="R9" s="2"/>
      <c r="S9" s="2"/>
      <c r="T9" s="2"/>
      <c r="U9" s="2"/>
      <c r="V9" s="2"/>
      <c r="W9" s="2"/>
    </row>
    <row r="10" spans="2:23">
      <c r="B10" s="2" t="s">
        <v>5</v>
      </c>
      <c r="C10" s="2"/>
      <c r="D10" s="2"/>
      <c r="E10" s="2"/>
      <c r="F10" s="2"/>
      <c r="G10" s="2"/>
      <c r="H10" s="2"/>
      <c r="I10" s="2"/>
      <c r="J10" s="2"/>
      <c r="K10" s="2"/>
      <c r="L10" s="2"/>
      <c r="M10" s="2"/>
      <c r="N10" s="2"/>
      <c r="O10" s="2"/>
      <c r="P10" s="2"/>
      <c r="Q10" s="2"/>
      <c r="R10" s="2"/>
      <c r="S10" s="2"/>
      <c r="T10" s="2"/>
      <c r="U10" s="2"/>
      <c r="V10" s="2"/>
      <c r="W10" s="2"/>
    </row>
    <row r="11" spans="2:23">
      <c r="B11" s="2"/>
      <c r="C11" s="2"/>
      <c r="D11" s="2"/>
      <c r="E11" s="2"/>
      <c r="F11" s="2"/>
      <c r="G11" s="2"/>
      <c r="H11" s="2"/>
      <c r="I11" s="2"/>
      <c r="J11" s="2"/>
      <c r="K11" s="2"/>
      <c r="L11" s="2"/>
      <c r="M11" s="2"/>
      <c r="N11" s="2"/>
      <c r="O11" s="2"/>
      <c r="P11" s="2" t="s">
        <v>6</v>
      </c>
      <c r="Q11" s="2"/>
      <c r="R11" s="2"/>
      <c r="S11" s="2"/>
      <c r="T11" s="2"/>
      <c r="U11" s="2"/>
      <c r="V11" s="2"/>
      <c r="W11" s="2"/>
    </row>
    <row r="12" spans="2:23" ht="219.75" customHeight="1">
      <c r="B12" s="279" t="s">
        <v>7</v>
      </c>
      <c r="C12" s="280"/>
      <c r="D12" s="280"/>
      <c r="E12" s="280"/>
      <c r="F12" s="280"/>
      <c r="G12" s="280"/>
      <c r="H12" s="280"/>
      <c r="I12" s="280"/>
      <c r="J12" s="280"/>
      <c r="K12" s="280"/>
      <c r="L12" s="280"/>
      <c r="M12" s="280"/>
      <c r="N12" s="2"/>
      <c r="O12" s="2"/>
      <c r="P12" s="2"/>
      <c r="Q12" s="2"/>
      <c r="R12" s="2"/>
      <c r="S12" s="2"/>
      <c r="T12" s="2"/>
      <c r="U12" s="2"/>
      <c r="V12" s="2"/>
      <c r="W12" s="2"/>
    </row>
    <row r="13" spans="2:23">
      <c r="B13" s="2"/>
      <c r="C13" s="2"/>
      <c r="D13" s="2"/>
      <c r="E13" s="2"/>
      <c r="F13" s="2"/>
      <c r="G13" s="2"/>
      <c r="H13" s="2"/>
      <c r="I13" s="2"/>
      <c r="J13" s="2"/>
      <c r="K13" s="2"/>
      <c r="L13" s="2"/>
      <c r="M13" s="2"/>
      <c r="N13" s="2"/>
      <c r="O13" s="2"/>
      <c r="P13" s="2"/>
      <c r="Q13" s="2"/>
      <c r="R13" s="2"/>
      <c r="S13" s="2"/>
      <c r="T13" s="2"/>
      <c r="U13" s="2"/>
      <c r="V13" s="2"/>
      <c r="W13" s="2"/>
    </row>
    <row r="14" spans="2:23">
      <c r="B14" s="5" t="s">
        <v>8</v>
      </c>
      <c r="C14" s="2"/>
      <c r="D14" s="2"/>
      <c r="E14" s="2"/>
      <c r="F14" s="2"/>
      <c r="G14" s="2"/>
      <c r="H14" s="2"/>
      <c r="I14" s="2"/>
      <c r="J14" s="2"/>
      <c r="K14" s="2"/>
      <c r="L14" s="2"/>
      <c r="M14" s="2"/>
      <c r="N14" s="2"/>
      <c r="O14" s="2"/>
      <c r="P14" s="2"/>
      <c r="Q14" s="2"/>
      <c r="R14" s="2"/>
      <c r="S14" s="2"/>
      <c r="T14" s="2"/>
      <c r="U14" s="2"/>
      <c r="V14" s="2"/>
      <c r="W14" s="2"/>
    </row>
    <row r="15" spans="2:23">
      <c r="B15" s="2" t="s">
        <v>9</v>
      </c>
      <c r="C15" s="2"/>
      <c r="D15" s="2"/>
      <c r="E15" s="2"/>
      <c r="F15" s="2"/>
      <c r="G15" s="2"/>
      <c r="H15" s="2"/>
      <c r="I15" s="2"/>
      <c r="J15" s="2"/>
      <c r="K15" s="2"/>
      <c r="L15" s="2"/>
      <c r="M15" s="2"/>
      <c r="N15" s="2"/>
      <c r="O15" s="2"/>
      <c r="P15" s="2"/>
      <c r="Q15" s="2"/>
      <c r="R15" s="2"/>
      <c r="S15" s="2"/>
      <c r="T15" s="2"/>
      <c r="U15" s="2"/>
      <c r="V15" s="2"/>
      <c r="W15" s="2"/>
    </row>
    <row r="16" spans="2:23">
      <c r="B16" s="54" t="s">
        <v>10</v>
      </c>
      <c r="C16" s="2"/>
      <c r="D16" s="2"/>
      <c r="E16" s="2"/>
      <c r="F16" s="2"/>
      <c r="G16" s="2"/>
      <c r="H16" s="2"/>
      <c r="I16" s="2"/>
      <c r="J16" s="2"/>
      <c r="K16" s="2"/>
      <c r="L16" s="2"/>
      <c r="M16" s="2"/>
      <c r="N16" s="2"/>
      <c r="O16" s="2"/>
      <c r="P16" s="2"/>
      <c r="Q16" s="2"/>
      <c r="R16" s="2"/>
      <c r="S16" s="2"/>
      <c r="T16" s="2"/>
      <c r="U16" s="2"/>
      <c r="V16" s="2"/>
      <c r="W16" s="2"/>
    </row>
    <row r="17" spans="2:23">
      <c r="B17" s="54" t="s">
        <v>11</v>
      </c>
      <c r="C17" s="2"/>
      <c r="D17" s="2"/>
      <c r="E17" s="2"/>
      <c r="F17" s="2"/>
      <c r="G17" s="2"/>
      <c r="H17" s="2"/>
      <c r="I17" s="2"/>
      <c r="J17" s="2"/>
      <c r="K17" s="2"/>
      <c r="L17" s="2"/>
      <c r="M17" s="2"/>
      <c r="N17" s="2"/>
      <c r="O17" s="2"/>
      <c r="P17" s="2"/>
      <c r="Q17" s="2"/>
      <c r="R17" s="2"/>
      <c r="S17" s="2"/>
      <c r="T17" s="2"/>
      <c r="U17" s="2"/>
      <c r="V17" s="2"/>
      <c r="W17" s="2"/>
    </row>
    <row r="18" spans="2:23">
      <c r="B18" s="2"/>
      <c r="C18" s="2"/>
      <c r="D18" s="2"/>
      <c r="E18" s="2"/>
      <c r="F18" s="2"/>
      <c r="G18" s="2"/>
      <c r="H18" s="2"/>
      <c r="I18" s="2"/>
      <c r="J18" s="2"/>
      <c r="K18" s="2"/>
      <c r="L18" s="2"/>
      <c r="M18" s="2"/>
      <c r="N18" s="2"/>
      <c r="O18" s="2"/>
      <c r="P18" s="2"/>
      <c r="Q18" s="2"/>
      <c r="R18" s="2"/>
      <c r="S18" s="2"/>
      <c r="T18" s="2"/>
      <c r="U18" s="2"/>
      <c r="V18" s="2"/>
      <c r="W18" s="2"/>
    </row>
    <row r="19" spans="2:23">
      <c r="B19" s="2"/>
      <c r="C19" s="2"/>
      <c r="D19" s="2"/>
      <c r="E19" s="2"/>
      <c r="F19" s="2"/>
      <c r="G19" s="2"/>
      <c r="H19" s="2"/>
      <c r="I19" s="2"/>
      <c r="J19" s="2"/>
      <c r="K19" s="2"/>
      <c r="L19" s="2"/>
      <c r="M19" s="2"/>
      <c r="N19" s="2"/>
      <c r="O19" s="2"/>
      <c r="P19" s="2"/>
      <c r="Q19" s="2"/>
      <c r="R19" s="2"/>
      <c r="S19" s="2"/>
      <c r="T19" s="2"/>
      <c r="U19" s="2"/>
      <c r="V19" s="2"/>
      <c r="W19" s="2"/>
    </row>
    <row r="20" spans="2:23">
      <c r="B20" s="2"/>
      <c r="C20" s="2"/>
      <c r="D20" s="2"/>
      <c r="E20" s="2"/>
      <c r="F20" s="2"/>
      <c r="G20" s="2"/>
      <c r="H20" s="2"/>
      <c r="I20" s="2"/>
      <c r="J20" s="2"/>
      <c r="K20" s="2"/>
      <c r="L20" s="2"/>
      <c r="M20" s="2"/>
      <c r="N20" s="2"/>
      <c r="O20" s="2"/>
      <c r="P20" s="2"/>
      <c r="Q20" s="2"/>
      <c r="R20" s="2"/>
      <c r="S20" s="2"/>
      <c r="T20" s="2"/>
      <c r="U20" s="2"/>
      <c r="V20" s="2"/>
      <c r="W20" s="2"/>
    </row>
    <row r="21" spans="2:23">
      <c r="B21" s="2"/>
      <c r="C21" s="2"/>
      <c r="D21" s="2"/>
      <c r="E21" s="2"/>
      <c r="F21" s="2"/>
      <c r="G21" s="2"/>
      <c r="H21" s="2"/>
      <c r="I21" s="2"/>
      <c r="J21" s="2"/>
      <c r="K21" s="2"/>
      <c r="L21" s="2"/>
      <c r="M21" s="2"/>
      <c r="N21" s="2"/>
      <c r="O21" s="2"/>
      <c r="P21" s="2"/>
      <c r="Q21" s="2"/>
      <c r="R21" s="2"/>
      <c r="S21" s="2"/>
      <c r="T21" s="2"/>
      <c r="U21" s="2"/>
      <c r="V21" s="2"/>
      <c r="W21" s="2"/>
    </row>
    <row r="22" spans="2:23">
      <c r="B22" s="2"/>
      <c r="C22" s="2"/>
      <c r="D22" s="2"/>
      <c r="E22" s="2"/>
      <c r="F22" s="2"/>
      <c r="G22" s="2"/>
      <c r="H22" s="2"/>
      <c r="I22" s="2"/>
      <c r="J22" s="2"/>
      <c r="K22" s="2"/>
      <c r="L22" s="2"/>
      <c r="M22" s="2"/>
      <c r="N22" s="2"/>
      <c r="O22" s="2"/>
      <c r="P22" s="2"/>
      <c r="Q22" s="2"/>
      <c r="R22" s="2"/>
      <c r="S22" s="2"/>
      <c r="T22" s="2"/>
      <c r="U22" s="2"/>
      <c r="V22" s="2"/>
      <c r="W22" s="2"/>
    </row>
    <row r="23" spans="2:23">
      <c r="B23" s="2"/>
      <c r="C23" s="2"/>
      <c r="D23" s="2"/>
      <c r="E23" s="2"/>
      <c r="F23" s="2"/>
      <c r="G23" s="2"/>
      <c r="H23" s="2"/>
      <c r="I23" s="2"/>
      <c r="J23" s="2"/>
      <c r="K23" s="2"/>
      <c r="L23" s="2"/>
      <c r="M23" s="2"/>
      <c r="N23" s="2"/>
      <c r="O23" s="2"/>
      <c r="P23" s="2"/>
      <c r="Q23" s="2"/>
      <c r="R23" s="2"/>
      <c r="S23" s="2"/>
      <c r="T23" s="2"/>
      <c r="U23" s="2"/>
      <c r="V23" s="2"/>
      <c r="W23" s="2"/>
    </row>
    <row r="24" spans="2:23">
      <c r="B24" s="2"/>
      <c r="C24" s="2"/>
      <c r="D24" s="2"/>
      <c r="E24" s="2"/>
      <c r="F24" s="2"/>
      <c r="G24" s="2"/>
      <c r="H24" s="2"/>
      <c r="I24" s="2"/>
      <c r="J24" s="2"/>
      <c r="K24" s="2"/>
      <c r="L24" s="2"/>
      <c r="M24" s="2"/>
      <c r="N24" s="2"/>
      <c r="O24" s="2"/>
      <c r="P24" s="2"/>
      <c r="Q24" s="2"/>
      <c r="R24" s="2"/>
      <c r="S24" s="2"/>
      <c r="T24" s="2"/>
      <c r="U24" s="2"/>
      <c r="V24" s="2"/>
      <c r="W24" s="2"/>
    </row>
    <row r="25" spans="2:23">
      <c r="B25" s="2"/>
      <c r="C25" s="2"/>
      <c r="D25" s="2"/>
      <c r="E25" s="2"/>
      <c r="F25" s="2"/>
      <c r="G25" s="2"/>
      <c r="H25" s="2"/>
      <c r="I25" s="2"/>
      <c r="J25" s="2"/>
      <c r="K25" s="2"/>
      <c r="L25" s="2"/>
      <c r="M25" s="2"/>
      <c r="N25" s="2"/>
      <c r="O25" s="2"/>
      <c r="P25" s="2"/>
      <c r="Q25" s="2"/>
      <c r="R25" s="2"/>
      <c r="S25" s="2"/>
      <c r="T25" s="2"/>
      <c r="U25" s="2"/>
      <c r="V25" s="2"/>
      <c r="W25" s="2"/>
    </row>
    <row r="26" spans="2:23">
      <c r="B26" s="2"/>
      <c r="C26" s="2"/>
      <c r="D26" s="2"/>
      <c r="E26" s="2"/>
      <c r="F26" s="2"/>
      <c r="G26" s="2"/>
      <c r="H26" s="2"/>
      <c r="I26" s="2"/>
      <c r="J26" s="2"/>
      <c r="K26" s="2"/>
      <c r="L26" s="2"/>
      <c r="M26" s="2"/>
      <c r="N26" s="2"/>
      <c r="O26" s="2"/>
      <c r="P26" s="2"/>
      <c r="Q26" s="2"/>
      <c r="R26" s="2"/>
      <c r="S26" s="2"/>
      <c r="T26" s="2"/>
      <c r="U26" s="2"/>
      <c r="V26" s="2"/>
      <c r="W26" s="2"/>
    </row>
    <row r="27" spans="2:23">
      <c r="B27" s="2"/>
      <c r="C27" s="2"/>
      <c r="D27" s="2"/>
      <c r="E27" s="2"/>
      <c r="F27" s="2"/>
      <c r="G27" s="2"/>
      <c r="H27" s="2"/>
      <c r="I27" s="2"/>
      <c r="J27" s="2"/>
      <c r="K27" s="2"/>
      <c r="L27" s="2"/>
      <c r="M27" s="2"/>
      <c r="N27" s="2"/>
      <c r="O27" s="2"/>
      <c r="P27" s="2"/>
      <c r="Q27" s="2"/>
      <c r="R27" s="2"/>
      <c r="S27" s="2"/>
      <c r="T27" s="2"/>
      <c r="U27" s="2"/>
      <c r="V27" s="2"/>
      <c r="W27" s="2"/>
    </row>
    <row r="28" spans="2:23">
      <c r="B28" s="2"/>
      <c r="C28" s="2"/>
      <c r="D28" s="2"/>
      <c r="E28" s="2"/>
      <c r="F28" s="2"/>
      <c r="G28" s="2"/>
      <c r="H28" s="2"/>
      <c r="I28" s="2"/>
      <c r="J28" s="2"/>
      <c r="K28" s="2"/>
      <c r="L28" s="2"/>
      <c r="M28" s="2"/>
      <c r="N28" s="2"/>
      <c r="O28" s="2"/>
      <c r="P28" s="2"/>
      <c r="Q28" s="2"/>
      <c r="R28" s="2"/>
      <c r="S28" s="2"/>
      <c r="T28" s="2"/>
      <c r="U28" s="2"/>
      <c r="V28" s="2"/>
      <c r="W28" s="2"/>
    </row>
    <row r="29" spans="2:23">
      <c r="B29" s="2"/>
      <c r="C29" s="2"/>
      <c r="D29" s="2"/>
      <c r="E29" s="2"/>
      <c r="F29" s="2"/>
      <c r="G29" s="2"/>
      <c r="H29" s="2"/>
      <c r="I29" s="2"/>
      <c r="J29" s="2"/>
      <c r="K29" s="2"/>
      <c r="L29" s="2"/>
      <c r="M29" s="2"/>
      <c r="N29" s="2"/>
      <c r="O29" s="2"/>
      <c r="P29" s="2"/>
      <c r="Q29" s="2"/>
      <c r="R29" s="2"/>
      <c r="S29" s="2"/>
      <c r="T29" s="2"/>
      <c r="U29" s="2"/>
      <c r="V29" s="2"/>
      <c r="W29" s="2"/>
    </row>
    <row r="30" spans="2:23">
      <c r="B30" s="2"/>
      <c r="C30" s="2"/>
      <c r="D30" s="2"/>
      <c r="E30" s="2"/>
      <c r="F30" s="2"/>
      <c r="G30" s="2"/>
      <c r="H30" s="2"/>
      <c r="I30" s="2"/>
      <c r="J30" s="2"/>
      <c r="K30" s="2"/>
      <c r="L30" s="2"/>
      <c r="M30" s="2"/>
      <c r="N30" s="2"/>
      <c r="O30" s="2"/>
      <c r="P30" s="2"/>
      <c r="Q30" s="2"/>
      <c r="R30" s="2"/>
      <c r="S30" s="2"/>
      <c r="T30" s="2"/>
      <c r="U30" s="2"/>
      <c r="V30" s="2"/>
      <c r="W30" s="2"/>
    </row>
    <row r="31" spans="2:23">
      <c r="B31" s="2"/>
      <c r="C31" s="2"/>
      <c r="D31" s="2"/>
      <c r="E31" s="2"/>
      <c r="F31" s="2"/>
      <c r="G31" s="2"/>
      <c r="H31" s="2"/>
      <c r="I31" s="2"/>
      <c r="J31" s="2"/>
      <c r="K31" s="2"/>
      <c r="L31" s="2"/>
      <c r="M31" s="2"/>
      <c r="N31" s="2"/>
      <c r="O31" s="2"/>
      <c r="P31" s="2"/>
      <c r="Q31" s="2"/>
      <c r="R31" s="2"/>
      <c r="S31" s="2"/>
      <c r="T31" s="2"/>
      <c r="U31" s="2"/>
      <c r="V31" s="2"/>
      <c r="W31" s="2"/>
    </row>
    <row r="32" spans="2:23">
      <c r="B32" s="2"/>
      <c r="C32" s="2"/>
      <c r="D32" s="2"/>
      <c r="E32" s="2"/>
      <c r="F32" s="2"/>
      <c r="G32" s="2"/>
      <c r="H32" s="2"/>
      <c r="I32" s="2"/>
      <c r="J32" s="2"/>
      <c r="K32" s="2"/>
      <c r="L32" s="2"/>
      <c r="M32" s="2"/>
      <c r="N32" s="2"/>
      <c r="O32" s="2"/>
      <c r="P32" s="2"/>
      <c r="Q32" s="2"/>
      <c r="R32" s="2"/>
      <c r="S32" s="2"/>
      <c r="T32" s="2"/>
      <c r="U32" s="2"/>
      <c r="V32" s="2"/>
      <c r="W32" s="2"/>
    </row>
    <row r="33" spans="2:23" ht="27">
      <c r="B33" s="2"/>
      <c r="C33" s="1"/>
      <c r="D33" s="2"/>
      <c r="E33" s="2"/>
      <c r="F33" s="2"/>
      <c r="G33" s="2"/>
      <c r="H33" s="2"/>
      <c r="I33" s="2"/>
      <c r="J33" s="2"/>
      <c r="K33" s="2"/>
      <c r="L33" s="2"/>
      <c r="M33" s="2"/>
      <c r="N33" s="2"/>
      <c r="O33" s="2"/>
      <c r="P33" s="2"/>
      <c r="Q33" s="2"/>
      <c r="R33" s="2"/>
      <c r="S33" s="2"/>
      <c r="T33" s="2"/>
      <c r="U33" s="2"/>
      <c r="V33" s="2"/>
      <c r="W33" s="2"/>
    </row>
    <row r="34" spans="2:23">
      <c r="B34" s="2"/>
      <c r="C34" s="2"/>
      <c r="D34" s="2"/>
      <c r="E34" s="2"/>
      <c r="F34" s="2"/>
      <c r="G34" s="2"/>
      <c r="H34" s="2"/>
      <c r="I34" s="2"/>
      <c r="J34" s="2"/>
      <c r="K34" s="2"/>
      <c r="L34" s="2"/>
      <c r="M34" s="2"/>
      <c r="N34" s="2"/>
      <c r="O34" s="2"/>
      <c r="P34" s="2"/>
      <c r="Q34" s="2"/>
      <c r="R34" s="2"/>
      <c r="S34" s="2"/>
      <c r="T34" s="2"/>
      <c r="U34" s="2"/>
      <c r="V34" s="2"/>
      <c r="W34" s="2"/>
    </row>
    <row r="35" spans="2:23" ht="18">
      <c r="B35" s="7" t="s">
        <v>12</v>
      </c>
      <c r="C35" s="2"/>
      <c r="D35" s="2"/>
      <c r="E35" s="2"/>
      <c r="F35" s="2"/>
      <c r="G35" s="2"/>
      <c r="H35" s="2"/>
      <c r="I35" s="2"/>
      <c r="J35" s="2"/>
      <c r="K35" s="2"/>
      <c r="L35" s="2"/>
      <c r="M35" s="2"/>
      <c r="N35" s="2"/>
      <c r="O35" s="2"/>
      <c r="P35" s="2"/>
      <c r="Q35" s="2"/>
      <c r="R35" s="2"/>
      <c r="S35" s="2"/>
      <c r="T35" s="2"/>
      <c r="U35" s="2"/>
      <c r="V35" s="2"/>
      <c r="W35" s="2"/>
    </row>
    <row r="36" spans="2:23">
      <c r="B36" s="11" t="s">
        <v>13</v>
      </c>
      <c r="C36" s="11" t="s">
        <v>2</v>
      </c>
      <c r="D36" s="281" t="s">
        <v>4</v>
      </c>
      <c r="E36" s="281"/>
      <c r="F36" s="281"/>
      <c r="G36" s="281"/>
      <c r="H36" s="281"/>
      <c r="I36" s="281"/>
      <c r="J36" s="281"/>
      <c r="K36" s="281"/>
      <c r="L36" s="281"/>
      <c r="M36" s="281"/>
      <c r="N36" s="2"/>
      <c r="O36" s="2"/>
      <c r="P36" s="2"/>
      <c r="Q36" s="2"/>
      <c r="R36" s="2"/>
      <c r="S36" s="2"/>
      <c r="T36" s="2"/>
      <c r="U36" s="2"/>
      <c r="V36" s="2"/>
      <c r="W36" s="2"/>
    </row>
    <row r="37" spans="2:23">
      <c r="B37" s="9">
        <v>2</v>
      </c>
      <c r="C37" s="10">
        <v>46006</v>
      </c>
      <c r="D37" s="276" t="s">
        <v>616</v>
      </c>
      <c r="E37" s="277"/>
      <c r="F37" s="277"/>
      <c r="G37" s="277"/>
      <c r="H37" s="277"/>
      <c r="I37" s="277"/>
      <c r="J37" s="277"/>
      <c r="K37" s="277"/>
      <c r="L37" s="277"/>
      <c r="M37" s="278"/>
      <c r="N37" s="2"/>
      <c r="O37" s="2"/>
      <c r="P37" s="2"/>
      <c r="Q37" s="2"/>
      <c r="R37" s="2"/>
      <c r="S37" s="2"/>
      <c r="T37" s="2"/>
      <c r="U37" s="2"/>
      <c r="V37" s="2"/>
      <c r="W37" s="2"/>
    </row>
    <row r="38" spans="2:23">
      <c r="B38" s="9">
        <v>1</v>
      </c>
      <c r="C38" s="10">
        <v>45632</v>
      </c>
      <c r="D38" s="282" t="s">
        <v>14</v>
      </c>
      <c r="E38" s="282"/>
      <c r="F38" s="282"/>
      <c r="G38" s="282"/>
      <c r="H38" s="282"/>
      <c r="I38" s="282"/>
      <c r="J38" s="282"/>
      <c r="K38" s="282"/>
      <c r="L38" s="282"/>
      <c r="M38" s="282"/>
      <c r="N38" s="2"/>
      <c r="O38" s="2"/>
      <c r="P38" s="2"/>
      <c r="Q38" s="2"/>
      <c r="R38" s="2"/>
      <c r="S38" s="2"/>
      <c r="T38" s="2"/>
      <c r="U38" s="2"/>
      <c r="V38" s="2"/>
      <c r="W38" s="2"/>
    </row>
    <row r="39" spans="2:23">
      <c r="N39" s="2"/>
      <c r="O39" s="2"/>
      <c r="P39" s="2"/>
      <c r="Q39" s="2"/>
      <c r="R39" s="2"/>
      <c r="S39" s="2"/>
      <c r="T39" s="2"/>
      <c r="U39" s="2"/>
      <c r="V39" s="2"/>
      <c r="W39" s="2"/>
    </row>
    <row r="40" spans="2:23">
      <c r="B40" s="2"/>
      <c r="C40" s="2"/>
      <c r="D40" s="2"/>
      <c r="E40" s="2"/>
      <c r="F40" s="2"/>
      <c r="G40" s="2"/>
      <c r="H40" s="2"/>
      <c r="I40" s="2"/>
      <c r="J40" s="2"/>
      <c r="K40" s="2"/>
      <c r="L40" s="2"/>
      <c r="M40" s="2"/>
      <c r="N40" s="2"/>
      <c r="O40" s="2"/>
      <c r="P40" s="2"/>
      <c r="Q40" s="2"/>
      <c r="R40" s="2"/>
      <c r="S40" s="2"/>
      <c r="T40" s="2"/>
      <c r="U40" s="2"/>
      <c r="V40" s="2"/>
      <c r="W40" s="2"/>
    </row>
    <row r="41" spans="2:23">
      <c r="B41" s="2"/>
      <c r="C41" s="2"/>
      <c r="D41" s="2"/>
      <c r="E41" s="2"/>
      <c r="F41" s="2"/>
      <c r="G41" s="2"/>
      <c r="H41" s="2"/>
      <c r="I41" s="2"/>
      <c r="J41" s="2"/>
      <c r="K41" s="2"/>
      <c r="L41" s="2"/>
      <c r="M41" s="2"/>
      <c r="N41" s="2"/>
      <c r="O41" s="2"/>
      <c r="P41" s="2"/>
      <c r="Q41" s="2"/>
      <c r="R41" s="2"/>
      <c r="S41" s="2"/>
      <c r="T41" s="2"/>
      <c r="U41" s="2"/>
      <c r="V41" s="2"/>
      <c r="W41" s="2"/>
    </row>
    <row r="42" spans="2:23">
      <c r="B42" s="2"/>
      <c r="C42" s="2"/>
      <c r="D42" s="2"/>
      <c r="E42" s="2"/>
      <c r="F42" s="2"/>
      <c r="G42" s="2"/>
      <c r="H42" s="2"/>
      <c r="I42" s="2"/>
      <c r="J42" s="2"/>
      <c r="K42" s="2"/>
      <c r="L42" s="2"/>
      <c r="M42" s="2"/>
      <c r="N42" s="2"/>
      <c r="O42" s="2"/>
      <c r="P42" s="2"/>
      <c r="Q42" s="2"/>
      <c r="R42" s="2"/>
      <c r="S42" s="2"/>
      <c r="T42" s="2"/>
      <c r="U42" s="2"/>
      <c r="V42" s="2"/>
      <c r="W42" s="2"/>
    </row>
    <row r="43" spans="2:23">
      <c r="B43" s="2"/>
      <c r="C43" s="2"/>
      <c r="D43" s="2"/>
      <c r="E43" s="2"/>
      <c r="F43" s="2"/>
      <c r="G43" s="2"/>
      <c r="H43" s="2"/>
      <c r="I43" s="2"/>
      <c r="J43" s="2"/>
      <c r="K43" s="2"/>
      <c r="L43" s="2"/>
      <c r="M43" s="2"/>
      <c r="N43" s="2"/>
      <c r="O43" s="2"/>
      <c r="P43" s="2"/>
      <c r="Q43" s="2"/>
      <c r="R43" s="2"/>
      <c r="S43" s="2"/>
      <c r="T43" s="2"/>
      <c r="U43" s="2"/>
      <c r="V43" s="2"/>
      <c r="W43" s="2"/>
    </row>
    <row r="44" spans="2:23">
      <c r="B44" s="2"/>
      <c r="C44" s="2"/>
      <c r="D44" s="2"/>
      <c r="E44" s="2"/>
      <c r="F44" s="2"/>
      <c r="G44" s="2"/>
      <c r="H44" s="2"/>
      <c r="I44" s="2"/>
      <c r="J44" s="2"/>
      <c r="K44" s="2"/>
      <c r="L44" s="2"/>
      <c r="M44" s="2"/>
      <c r="N44" s="2"/>
      <c r="O44" s="2"/>
      <c r="P44" s="2"/>
      <c r="Q44" s="2"/>
      <c r="R44" s="2"/>
      <c r="S44" s="2"/>
      <c r="T44" s="2"/>
      <c r="U44" s="2"/>
      <c r="V44" s="2"/>
      <c r="W44" s="2"/>
    </row>
    <row r="45" spans="2:23">
      <c r="B45" s="2"/>
      <c r="C45" s="2"/>
      <c r="D45" s="2"/>
      <c r="E45" s="2"/>
      <c r="F45" s="2"/>
      <c r="G45" s="2"/>
      <c r="H45" s="2"/>
      <c r="I45" s="2"/>
      <c r="J45" s="2"/>
      <c r="K45" s="2"/>
      <c r="L45" s="2"/>
      <c r="M45" s="2"/>
      <c r="N45" s="2"/>
      <c r="O45" s="2"/>
      <c r="P45" s="2"/>
      <c r="Q45" s="2"/>
      <c r="R45" s="2"/>
      <c r="S45" s="2"/>
      <c r="T45" s="2"/>
      <c r="U45" s="2"/>
      <c r="V45" s="2"/>
      <c r="W45" s="2"/>
    </row>
    <row r="46" spans="2:23">
      <c r="B46" s="2"/>
      <c r="C46" s="2"/>
      <c r="D46" s="2"/>
      <c r="E46" s="2"/>
      <c r="F46" s="2"/>
      <c r="G46" s="2"/>
      <c r="H46" s="2"/>
      <c r="I46" s="2"/>
      <c r="J46" s="2"/>
      <c r="K46" s="2"/>
      <c r="L46" s="2"/>
      <c r="M46" s="2"/>
      <c r="N46" s="2"/>
      <c r="O46" s="2"/>
      <c r="P46" s="2"/>
      <c r="Q46" s="2"/>
      <c r="R46" s="2"/>
      <c r="S46" s="2"/>
      <c r="T46" s="2"/>
      <c r="U46" s="2"/>
      <c r="V46" s="2"/>
      <c r="W46" s="2"/>
    </row>
    <row r="47" spans="2:23">
      <c r="B47" s="2"/>
      <c r="C47" s="2"/>
      <c r="D47" s="2"/>
      <c r="E47" s="2"/>
      <c r="F47" s="2"/>
      <c r="G47" s="2"/>
      <c r="H47" s="2"/>
      <c r="I47" s="2"/>
      <c r="J47" s="2"/>
      <c r="K47" s="2"/>
      <c r="L47" s="2"/>
      <c r="M47" s="2"/>
      <c r="N47" s="2"/>
      <c r="O47" s="2"/>
      <c r="P47" s="2"/>
      <c r="Q47" s="2"/>
      <c r="R47" s="2"/>
      <c r="S47" s="2"/>
      <c r="T47" s="2"/>
      <c r="U47" s="2"/>
      <c r="V47" s="2"/>
      <c r="W47" s="2"/>
    </row>
  </sheetData>
  <sheetProtection algorithmName="SHA-512" hashValue="rMpL6xQn7dkunacJ2H5z4Hh4HKKfAVLXqJdMjYmU01FlXZ9PBXGavR1aTZzKZ7lxhMevhH5rHTz195DEJy/nyg==" saltValue="iYtVzJNatUtJgypmPIMm3A==" spinCount="100000" sheet="1" objects="1" scenarios="1"/>
  <mergeCells count="3">
    <mergeCell ref="B12:M12"/>
    <mergeCell ref="D36:M36"/>
    <mergeCell ref="D38:M38"/>
  </mergeCells>
  <pageMargins left="0.7" right="0.7" top="0.75" bottom="0.75" header="0.3" footer="0.3"/>
  <pageSetup paperSize="9" scale="60" orientation="landscape"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EC026-8219-49D1-B20C-2F3DBB19510A}">
  <sheetPr codeName="Sheet7">
    <pageSetUpPr fitToPage="1"/>
  </sheetPr>
  <dimension ref="A1:CW149"/>
  <sheetViews>
    <sheetView showGridLines="0" zoomScaleNormal="100" workbookViewId="0">
      <selection activeCell="BK20" sqref="BK20"/>
    </sheetView>
  </sheetViews>
  <sheetFormatPr defaultColWidth="9.140625" defaultRowHeight="14.25"/>
  <cols>
    <col min="1" max="1" width="4.42578125" style="2" customWidth="1"/>
    <col min="2" max="2" width="60.7109375" style="2" customWidth="1"/>
    <col min="3" max="3" width="9.28515625" style="2" bestFit="1" customWidth="1"/>
    <col min="4" max="4" width="31.85546875" style="2" customWidth="1"/>
    <col min="5" max="5" width="43.42578125" style="2" customWidth="1"/>
    <col min="6" max="6" width="9.28515625" style="2" bestFit="1" customWidth="1"/>
    <col min="7" max="7" width="34.7109375" style="2" customWidth="1"/>
    <col min="8" max="8" width="32.85546875" style="2" customWidth="1"/>
    <col min="9" max="9" width="9.28515625" style="2" bestFit="1" customWidth="1"/>
    <col min="10" max="10" width="11.7109375" style="2" hidden="1" customWidth="1"/>
    <col min="11" max="12" width="9.28515625" style="2" hidden="1" customWidth="1"/>
    <col min="13" max="14" width="9.85546875" style="2" hidden="1" customWidth="1"/>
    <col min="15" max="15" width="24.42578125" style="2" hidden="1" customWidth="1"/>
    <col min="16" max="16" width="9.28515625" style="2" hidden="1" customWidth="1"/>
    <col min="17" max="17" width="20.28515625" style="2" hidden="1" customWidth="1"/>
    <col min="18" max="18" width="17.42578125" style="2" hidden="1" customWidth="1"/>
    <col min="19" max="20" width="0" style="2" hidden="1" customWidth="1"/>
    <col min="21" max="21" width="18.28515625" style="2" hidden="1" customWidth="1"/>
    <col min="22" max="28" width="0" style="2" hidden="1" customWidth="1"/>
    <col min="29" max="29" width="9.28515625" style="2" hidden="1" customWidth="1"/>
    <col min="30" max="39" width="0" style="2" hidden="1" customWidth="1"/>
    <col min="40" max="40" width="9.28515625" style="2" hidden="1" customWidth="1"/>
    <col min="41" max="61" width="0" style="2" hidden="1" customWidth="1"/>
    <col min="62" max="62" width="37.85546875" style="2" bestFit="1" customWidth="1"/>
    <col min="63" max="70" width="9.140625" style="2"/>
    <col min="71" max="71" width="0" style="2" hidden="1" customWidth="1"/>
    <col min="72" max="75" width="9.140625" style="2"/>
    <col min="76" max="76" width="29.5703125" style="2" hidden="1" customWidth="1"/>
    <col min="77" max="101" width="9.140625" style="2" hidden="1" customWidth="1"/>
    <col min="102" max="16384" width="9.140625" style="2"/>
  </cols>
  <sheetData>
    <row r="1" spans="2:67">
      <c r="J1" s="63" t="s">
        <v>339</v>
      </c>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row>
    <row r="3" spans="2:67" ht="25.5">
      <c r="B3" s="22" t="s">
        <v>440</v>
      </c>
    </row>
    <row r="6" spans="2:67" hidden="1"/>
    <row r="7" spans="2:67" hidden="1"/>
    <row r="8" spans="2:67" hidden="1"/>
    <row r="9" spans="2:67" hidden="1"/>
    <row r="10" spans="2:67" hidden="1"/>
    <row r="11" spans="2:67" hidden="1"/>
    <row r="12" spans="2:67" hidden="1"/>
    <row r="13" spans="2:67" ht="25.5">
      <c r="B13" s="22" t="s">
        <v>441</v>
      </c>
    </row>
    <row r="16" spans="2:67" hidden="1">
      <c r="B16" s="6">
        <v>1</v>
      </c>
      <c r="C16" s="6">
        <v>2</v>
      </c>
      <c r="D16" s="6">
        <v>3</v>
      </c>
      <c r="E16" s="6">
        <v>4</v>
      </c>
      <c r="F16" s="6">
        <v>5</v>
      </c>
      <c r="G16" s="6">
        <v>6</v>
      </c>
      <c r="BJ16" s="6">
        <v>1</v>
      </c>
      <c r="BK16" s="6">
        <v>2</v>
      </c>
      <c r="BL16" s="6">
        <v>3</v>
      </c>
      <c r="BM16" s="6">
        <v>4</v>
      </c>
      <c r="BN16" s="6">
        <v>5</v>
      </c>
      <c r="BO16" s="6">
        <v>6</v>
      </c>
    </row>
    <row r="18" spans="2:101" ht="15">
      <c r="B18" s="417" t="s">
        <v>442</v>
      </c>
      <c r="C18" s="417"/>
      <c r="D18" s="417"/>
      <c r="E18" s="417"/>
      <c r="F18" s="417"/>
      <c r="G18" s="417"/>
      <c r="K18" s="417" t="s">
        <v>443</v>
      </c>
      <c r="L18" s="417"/>
      <c r="M18" s="417"/>
      <c r="N18" s="417"/>
      <c r="O18" s="417"/>
      <c r="P18" s="417"/>
      <c r="BJ18" s="417" t="s">
        <v>444</v>
      </c>
      <c r="BK18" s="417"/>
      <c r="BL18" s="417"/>
      <c r="BM18" s="417"/>
      <c r="BN18" s="417"/>
      <c r="BO18" s="417"/>
      <c r="BX18" s="2" t="s">
        <v>445</v>
      </c>
      <c r="BY18" s="2" t="s">
        <v>446</v>
      </c>
      <c r="BZ18" s="2" t="s">
        <v>447</v>
      </c>
      <c r="CA18" s="2" t="s">
        <v>448</v>
      </c>
      <c r="CB18" s="2" t="s">
        <v>449</v>
      </c>
      <c r="CC18" s="2" t="s">
        <v>450</v>
      </c>
      <c r="CD18" s="2" t="s">
        <v>451</v>
      </c>
      <c r="CE18" s="2" t="s">
        <v>452</v>
      </c>
      <c r="CF18" s="2" t="s">
        <v>453</v>
      </c>
      <c r="CG18" s="9" t="s">
        <v>454</v>
      </c>
      <c r="CH18" s="9" t="s">
        <v>455</v>
      </c>
      <c r="CI18" s="9" t="s">
        <v>456</v>
      </c>
      <c r="CJ18" s="9" t="s">
        <v>457</v>
      </c>
      <c r="CK18" s="9" t="s">
        <v>458</v>
      </c>
      <c r="CL18" s="9" t="s">
        <v>459</v>
      </c>
      <c r="CM18" s="9" t="s">
        <v>460</v>
      </c>
      <c r="CN18" s="9" t="s">
        <v>461</v>
      </c>
      <c r="CO18" s="9" t="s">
        <v>462</v>
      </c>
      <c r="CP18" s="9" t="s">
        <v>463</v>
      </c>
      <c r="CQ18" s="9" t="s">
        <v>464</v>
      </c>
      <c r="CR18" s="9" t="s">
        <v>465</v>
      </c>
      <c r="CS18" s="9" t="s">
        <v>466</v>
      </c>
      <c r="CT18" s="9" t="s">
        <v>467</v>
      </c>
      <c r="CU18" s="9" t="s">
        <v>468</v>
      </c>
      <c r="CV18" s="9" t="s">
        <v>469</v>
      </c>
      <c r="CW18" s="9" t="s">
        <v>470</v>
      </c>
    </row>
    <row r="19" spans="2:101" ht="13.9" customHeight="1">
      <c r="B19" s="101"/>
      <c r="C19" s="101" t="s">
        <v>176</v>
      </c>
      <c r="D19" s="101" t="s">
        <v>177</v>
      </c>
      <c r="E19" s="101" t="s">
        <v>178</v>
      </c>
      <c r="F19" s="101" t="s">
        <v>179</v>
      </c>
      <c r="G19" s="101" t="s">
        <v>180</v>
      </c>
      <c r="H19" s="101" t="s">
        <v>172</v>
      </c>
      <c r="K19" s="101" t="s">
        <v>471</v>
      </c>
      <c r="L19" s="101" t="s">
        <v>176</v>
      </c>
      <c r="M19" s="101" t="s">
        <v>177</v>
      </c>
      <c r="N19" s="101" t="s">
        <v>178</v>
      </c>
      <c r="O19" s="101" t="s">
        <v>179</v>
      </c>
      <c r="P19" s="101" t="s">
        <v>180</v>
      </c>
      <c r="Q19" s="101" t="s">
        <v>172</v>
      </c>
      <c r="BJ19" s="101"/>
      <c r="BK19" s="101" t="s">
        <v>176</v>
      </c>
      <c r="BL19" s="101" t="s">
        <v>177</v>
      </c>
      <c r="BM19" s="101" t="s">
        <v>178</v>
      </c>
      <c r="BN19" s="101" t="s">
        <v>179</v>
      </c>
      <c r="BO19" s="101" t="s">
        <v>180</v>
      </c>
      <c r="BP19" s="101" t="s">
        <v>172</v>
      </c>
      <c r="BX19" s="2" t="s">
        <v>472</v>
      </c>
      <c r="BY19" s="2">
        <v>5.2267474325155607</v>
      </c>
      <c r="BZ19" s="2">
        <v>6.4540551388141658</v>
      </c>
      <c r="CA19" s="2">
        <v>5.2534363517534048</v>
      </c>
      <c r="CB19" s="2">
        <v>4.5151597124082512</v>
      </c>
      <c r="CC19" s="2">
        <v>5.7064631752370074</v>
      </c>
      <c r="CD19" s="2">
        <v>2.8815128335675411</v>
      </c>
      <c r="CE19" s="2">
        <v>4.6109797817847529</v>
      </c>
      <c r="CF19" s="2">
        <v>3.7146498309556506</v>
      </c>
      <c r="CG19" s="2">
        <v>5.8705767254666918</v>
      </c>
      <c r="CH19" s="136">
        <v>6.0713790422779308</v>
      </c>
      <c r="CI19" s="136">
        <v>6.2721813590891706</v>
      </c>
      <c r="CJ19" s="136">
        <v>6.4729836759004096</v>
      </c>
      <c r="CK19" s="136">
        <v>6.7231880403036381</v>
      </c>
      <c r="CL19" s="136">
        <v>7.000704624066648</v>
      </c>
      <c r="CM19" s="136">
        <v>7.2938965436080467</v>
      </c>
      <c r="CN19" s="136">
        <v>7.6027637989278434</v>
      </c>
      <c r="CO19" s="136">
        <v>7.9273063900260299</v>
      </c>
      <c r="CP19" s="136">
        <v>8.2675243169026107</v>
      </c>
      <c r="CQ19" s="136">
        <v>8.623417579557584</v>
      </c>
      <c r="CR19" s="136">
        <v>8.9949861779909508</v>
      </c>
      <c r="CS19" s="136">
        <v>9.3822301122027145</v>
      </c>
      <c r="CT19" s="136">
        <v>9.7851493821928699</v>
      </c>
      <c r="CU19" s="136">
        <v>10.203743987961415</v>
      </c>
      <c r="CV19" s="136">
        <v>10.638013929508356</v>
      </c>
      <c r="CW19" s="136">
        <v>11.087959206833691</v>
      </c>
    </row>
    <row r="20" spans="2:101">
      <c r="B20" s="9" t="s">
        <v>183</v>
      </c>
      <c r="C20" s="66">
        <v>229.97302972232103</v>
      </c>
      <c r="D20" s="66">
        <v>20.970857763157891</v>
      </c>
      <c r="E20" s="66">
        <v>10.056182418812988</v>
      </c>
      <c r="F20" s="66">
        <v>67.418219511823665</v>
      </c>
      <c r="G20" s="66">
        <v>10.799485339355408</v>
      </c>
      <c r="H20" s="9" t="s">
        <v>473</v>
      </c>
      <c r="J20" s="6" t="str">
        <f>"Industri, "&amp;K20</f>
        <v>Industri, 4</v>
      </c>
      <c r="K20" s="9">
        <v>4</v>
      </c>
      <c r="L20" s="66">
        <v>251.87433729041996</v>
      </c>
      <c r="M20" s="66">
        <v>19.206289839519052</v>
      </c>
      <c r="N20" s="66">
        <v>12.370940121057368</v>
      </c>
      <c r="O20" s="66">
        <v>69.024171964914515</v>
      </c>
      <c r="P20" s="66">
        <v>5.4326422660909071</v>
      </c>
      <c r="Q20" s="9" t="s">
        <v>474</v>
      </c>
      <c r="BJ20" s="9" t="s">
        <v>183</v>
      </c>
      <c r="BK20" s="66">
        <v>261.33737162577802</v>
      </c>
      <c r="BL20" s="66">
        <v>20.970857763157891</v>
      </c>
      <c r="BM20" s="66">
        <v>10.056182418812988</v>
      </c>
      <c r="BN20" s="66">
        <v>67.418219511823665</v>
      </c>
      <c r="BO20" s="66">
        <v>10.799485339355408</v>
      </c>
      <c r="BP20" s="9" t="s">
        <v>473</v>
      </c>
      <c r="BX20" s="2" t="s">
        <v>475</v>
      </c>
      <c r="BY20" s="2">
        <v>8.4693405985217171E-2</v>
      </c>
      <c r="BZ20" s="2">
        <v>0.11858763282642076</v>
      </c>
      <c r="CA20" s="2">
        <v>7.8822217837411154E-2</v>
      </c>
      <c r="CB20" s="2">
        <v>6.9810990810617216E-2</v>
      </c>
      <c r="CC20" s="2">
        <v>8.3723828714705559E-2</v>
      </c>
      <c r="CD20" s="2">
        <v>4.1068107787919278E-2</v>
      </c>
      <c r="CE20" s="2">
        <v>0.15809461018363188</v>
      </c>
      <c r="CF20" s="2">
        <v>0.11620499377290149</v>
      </c>
      <c r="CG20" s="2">
        <v>0.10414483908581387</v>
      </c>
      <c r="CH20" s="136">
        <v>0.10421895843932349</v>
      </c>
      <c r="CI20" s="136">
        <v>0.10429795342887585</v>
      </c>
      <c r="CJ20" s="136">
        <v>0.10437958023347338</v>
      </c>
      <c r="CK20" s="136">
        <v>0.10452032131126054</v>
      </c>
      <c r="CL20" s="136">
        <v>0.10469389430143577</v>
      </c>
      <c r="CM20" s="136">
        <v>0.10488642419121132</v>
      </c>
      <c r="CN20" s="136">
        <v>0.10509771084035029</v>
      </c>
      <c r="CO20" s="136">
        <v>0.10532762360929496</v>
      </c>
      <c r="CP20" s="136">
        <v>0.10557607360053289</v>
      </c>
      <c r="CQ20" s="136">
        <v>0.10584299822002288</v>
      </c>
      <c r="CR20" s="136">
        <v>0.10612835211874572</v>
      </c>
      <c r="CS20" s="136">
        <v>0.10643210163651524</v>
      </c>
      <c r="CT20" s="136">
        <v>0.10675422126392814</v>
      </c>
      <c r="CU20" s="136">
        <v>0.10709469131606132</v>
      </c>
      <c r="CV20" s="136">
        <v>0.10745349635988202</v>
      </c>
      <c r="CW20" s="136">
        <v>0.1078306241250666</v>
      </c>
    </row>
    <row r="21" spans="2:101">
      <c r="B21" s="9" t="s">
        <v>185</v>
      </c>
      <c r="C21" s="66">
        <v>281.03078214163173</v>
      </c>
      <c r="D21" s="66">
        <v>32.248136911764703</v>
      </c>
      <c r="E21" s="66">
        <v>15.288913854739839</v>
      </c>
      <c r="F21" s="66">
        <v>41.84550912717426</v>
      </c>
      <c r="G21" s="66">
        <v>16.18387003686977</v>
      </c>
      <c r="H21" s="9" t="s">
        <v>473</v>
      </c>
      <c r="J21" s="6" t="str">
        <f t="shared" ref="J21:J30" si="0">"Industri, "&amp;K21</f>
        <v>Industri, 5</v>
      </c>
      <c r="K21" s="9">
        <v>5</v>
      </c>
      <c r="L21" s="66">
        <v>261.27438258168564</v>
      </c>
      <c r="M21" s="66">
        <v>20.067167614593636</v>
      </c>
      <c r="N21" s="66">
        <v>12.824723823157976</v>
      </c>
      <c r="O21" s="66">
        <v>75.219849273831727</v>
      </c>
      <c r="P21" s="66">
        <v>5.5860320990985359</v>
      </c>
      <c r="Q21" s="9" t="s">
        <v>474</v>
      </c>
      <c r="BJ21" s="9" t="s">
        <v>185</v>
      </c>
      <c r="BK21" s="66">
        <v>322.7027569407083</v>
      </c>
      <c r="BL21" s="66">
        <v>32.248136911764703</v>
      </c>
      <c r="BM21" s="66">
        <v>15.288913854739839</v>
      </c>
      <c r="BN21" s="66">
        <v>41.84550912717426</v>
      </c>
      <c r="BO21" s="66">
        <v>16.18387003686977</v>
      </c>
      <c r="BP21" s="9" t="s">
        <v>473</v>
      </c>
      <c r="BS21" s="133">
        <f>BK21+BL21</f>
        <v>354.95089385247297</v>
      </c>
      <c r="BX21" s="2" t="s">
        <v>476</v>
      </c>
      <c r="BY21" s="2">
        <v>0.41941715526315798</v>
      </c>
      <c r="BZ21" s="2">
        <v>0.65191435588235269</v>
      </c>
      <c r="CA21" s="2">
        <v>0.43691226617995277</v>
      </c>
      <c r="CB21" s="2">
        <v>0.43234842024946912</v>
      </c>
      <c r="CC21" s="2">
        <v>0.50167546441406274</v>
      </c>
      <c r="CD21" s="2">
        <v>0.31598595863924445</v>
      </c>
      <c r="CE21" s="2">
        <v>0.28714093641622229</v>
      </c>
      <c r="CF21" s="2">
        <v>0.24452662701573435</v>
      </c>
      <c r="CG21" s="2">
        <v>0.73292968123222135</v>
      </c>
      <c r="CH21" s="136">
        <v>0.76578156874081471</v>
      </c>
      <c r="CI21" s="136">
        <v>0.79863345624940807</v>
      </c>
      <c r="CJ21" s="136">
        <v>0.83148534375800121</v>
      </c>
      <c r="CK21" s="136">
        <v>0.86887367353670164</v>
      </c>
      <c r="CL21" s="136">
        <v>0.90877000272905839</v>
      </c>
      <c r="CM21" s="136">
        <v>0.95010575112141515</v>
      </c>
      <c r="CN21" s="136">
        <v>0.99288091871377193</v>
      </c>
      <c r="CO21" s="136">
        <v>1.0370955055061286</v>
      </c>
      <c r="CP21" s="136">
        <v>1.0827495114984853</v>
      </c>
      <c r="CQ21" s="136">
        <v>1.129842936690842</v>
      </c>
      <c r="CR21" s="136">
        <v>1.1783757810831985</v>
      </c>
      <c r="CS21" s="136">
        <v>1.2283480446755555</v>
      </c>
      <c r="CT21" s="136">
        <v>1.279759727467912</v>
      </c>
      <c r="CU21" s="136">
        <v>1.3326108294602688</v>
      </c>
      <c r="CV21" s="136">
        <v>1.3869013506526253</v>
      </c>
      <c r="CW21" s="136">
        <v>1.4426312910449823</v>
      </c>
    </row>
    <row r="22" spans="2:101">
      <c r="B22" s="9" t="s">
        <v>262</v>
      </c>
      <c r="C22" s="66">
        <v>226.03369433864987</v>
      </c>
      <c r="D22" s="66">
        <v>21.845613308997628</v>
      </c>
      <c r="E22" s="66">
        <v>10.542766377269137</v>
      </c>
      <c r="F22" s="66">
        <v>43.204220070465297</v>
      </c>
      <c r="G22" s="66">
        <v>11.448374112075768</v>
      </c>
      <c r="H22" s="9" t="s">
        <v>473</v>
      </c>
      <c r="J22" s="6" t="str">
        <f t="shared" si="0"/>
        <v>Industri, 6</v>
      </c>
      <c r="K22" s="9">
        <v>6</v>
      </c>
      <c r="L22" s="66">
        <v>270.67442787295136</v>
      </c>
      <c r="M22" s="66">
        <v>20.92804538966822</v>
      </c>
      <c r="N22" s="66">
        <v>13.278507525258577</v>
      </c>
      <c r="O22" s="66">
        <v>81.415526582748925</v>
      </c>
      <c r="P22" s="66">
        <v>5.7394219321061657</v>
      </c>
      <c r="Q22" s="9" t="s">
        <v>474</v>
      </c>
      <c r="BJ22" s="9" t="s">
        <v>262</v>
      </c>
      <c r="BK22" s="66">
        <v>262.67181758767026</v>
      </c>
      <c r="BL22" s="66">
        <v>21.845613308997628</v>
      </c>
      <c r="BM22" s="66">
        <v>10.542766377269137</v>
      </c>
      <c r="BN22" s="66">
        <v>43.204220070465297</v>
      </c>
      <c r="BO22" s="66">
        <v>11.448374112075768</v>
      </c>
      <c r="BP22" s="9" t="s">
        <v>473</v>
      </c>
      <c r="BX22" s="2" t="s">
        <v>477</v>
      </c>
      <c r="BY22" s="2">
        <v>0.20112364837625976</v>
      </c>
      <c r="BZ22" s="2">
        <v>0.30577827709479677</v>
      </c>
      <c r="CA22" s="2">
        <v>0.2108553275453828</v>
      </c>
      <c r="CB22" s="2">
        <v>0.19955410053841008</v>
      </c>
      <c r="CC22" s="2">
        <v>0.2524911408738526</v>
      </c>
      <c r="CD22" s="2">
        <v>0.27880672107766341</v>
      </c>
      <c r="CE22" s="2">
        <v>0.18802637168725864</v>
      </c>
      <c r="CF22" s="2">
        <v>0.1408312717385759</v>
      </c>
      <c r="CG22" s="2">
        <v>0.24741880242114736</v>
      </c>
      <c r="CH22" s="136">
        <v>0.25649447646315948</v>
      </c>
      <c r="CI22" s="136">
        <v>0.26557015050517152</v>
      </c>
      <c r="CJ22" s="136">
        <v>0.27464582454718373</v>
      </c>
      <c r="CK22" s="136">
        <v>0.28535713914559507</v>
      </c>
      <c r="CL22" s="136">
        <v>0.29697272747045345</v>
      </c>
      <c r="CM22" s="136">
        <v>0.30910730673159997</v>
      </c>
      <c r="CN22" s="136">
        <v>0.32176087692903449</v>
      </c>
      <c r="CO22" s="136">
        <v>0.33493343806275727</v>
      </c>
      <c r="CP22" s="136">
        <v>0.34862499013276799</v>
      </c>
      <c r="CQ22" s="136">
        <v>0.3628355331390668</v>
      </c>
      <c r="CR22" s="136">
        <v>0.37756506708165377</v>
      </c>
      <c r="CS22" s="136">
        <v>0.39281359196052873</v>
      </c>
      <c r="CT22" s="136">
        <v>0.40858110777569195</v>
      </c>
      <c r="CU22" s="136">
        <v>0.42486761452714306</v>
      </c>
      <c r="CV22" s="136">
        <v>0.44167311221488242</v>
      </c>
      <c r="CW22" s="136">
        <v>0.45899760083890984</v>
      </c>
    </row>
    <row r="23" spans="2:101">
      <c r="B23" s="9" t="s">
        <v>279</v>
      </c>
      <c r="C23" s="66">
        <v>201.80077244654831</v>
      </c>
      <c r="D23" s="66">
        <v>21.269847007696388</v>
      </c>
      <c r="E23" s="66">
        <v>9.977705026920507</v>
      </c>
      <c r="F23" s="66">
        <v>48.149226406608214</v>
      </c>
      <c r="G23" s="66">
        <v>9.5482817179172734</v>
      </c>
      <c r="H23" s="9" t="s">
        <v>473</v>
      </c>
      <c r="J23" s="6" t="str">
        <f t="shared" si="0"/>
        <v>Industri, 7</v>
      </c>
      <c r="K23" s="9">
        <v>7</v>
      </c>
      <c r="L23" s="66">
        <v>280.07447316421701</v>
      </c>
      <c r="M23" s="66">
        <v>21.788923164742801</v>
      </c>
      <c r="N23" s="66">
        <v>13.732291227359186</v>
      </c>
      <c r="O23" s="66">
        <v>87.611203891666122</v>
      </c>
      <c r="P23" s="66">
        <v>5.8928117651137963</v>
      </c>
      <c r="Q23" s="9" t="s">
        <v>474</v>
      </c>
      <c r="BJ23" s="9" t="s">
        <v>279</v>
      </c>
      <c r="BK23" s="66">
        <v>225.75798562041257</v>
      </c>
      <c r="BL23" s="66">
        <v>21.269847007696388</v>
      </c>
      <c r="BM23" s="66">
        <v>9.977705026920507</v>
      </c>
      <c r="BN23" s="66">
        <v>48.149226406608214</v>
      </c>
      <c r="BO23" s="66">
        <v>9.5482817179172734</v>
      </c>
      <c r="BP23" s="9" t="s">
        <v>473</v>
      </c>
      <c r="BX23" s="2" t="s">
        <v>478</v>
      </c>
      <c r="BY23" s="2">
        <v>0.37102521052631571</v>
      </c>
      <c r="BZ23" s="2">
        <v>0.3710251521298174</v>
      </c>
      <c r="CA23" s="2">
        <v>0.37102519415258106</v>
      </c>
      <c r="CB23" s="2">
        <v>0.37102519415258106</v>
      </c>
      <c r="CC23" s="2">
        <v>0.37102515625000004</v>
      </c>
      <c r="CD23" s="2">
        <v>0.37102513089005235</v>
      </c>
      <c r="CE23" s="2">
        <v>0.37102519415258106</v>
      </c>
      <c r="CF23" s="2">
        <v>0.37102519415258106</v>
      </c>
      <c r="CG23" s="2">
        <v>0.37102515923566881</v>
      </c>
      <c r="CH23" s="136">
        <v>0.37102515923566881</v>
      </c>
      <c r="CI23" s="136">
        <v>0.37102515923566881</v>
      </c>
      <c r="CJ23" s="136">
        <v>0.37102515923566881</v>
      </c>
      <c r="CK23" s="136">
        <v>0.37102515923566881</v>
      </c>
      <c r="CL23" s="136">
        <v>0.37102515923566881</v>
      </c>
      <c r="CM23" s="136">
        <v>0.37102515923566881</v>
      </c>
      <c r="CN23" s="136">
        <v>0.37102515923566881</v>
      </c>
      <c r="CO23" s="136">
        <v>0.37102515923566881</v>
      </c>
      <c r="CP23" s="136">
        <v>0.37102515923566881</v>
      </c>
      <c r="CQ23" s="136">
        <v>0.37102515923566881</v>
      </c>
      <c r="CR23" s="136">
        <v>0.37102515923566881</v>
      </c>
      <c r="CS23" s="136">
        <v>0.37102515923566881</v>
      </c>
      <c r="CT23" s="136">
        <v>0.37102515923566881</v>
      </c>
      <c r="CU23" s="136">
        <v>0.37102515923566881</v>
      </c>
      <c r="CV23" s="136">
        <v>0.37102515923566881</v>
      </c>
      <c r="CW23" s="136">
        <v>0.37102515923566881</v>
      </c>
    </row>
    <row r="24" spans="2:101">
      <c r="B24" s="9" t="s">
        <v>267</v>
      </c>
      <c r="C24" s="66">
        <v>246.61665609337749</v>
      </c>
      <c r="D24" s="66">
        <v>25.083773220703122</v>
      </c>
      <c r="E24" s="66">
        <v>12.624557043692633</v>
      </c>
      <c r="F24" s="66">
        <v>52.682923689105273</v>
      </c>
      <c r="G24" s="66">
        <v>15.025922923538479</v>
      </c>
      <c r="H24" s="9" t="s">
        <v>473</v>
      </c>
      <c r="J24" s="6" t="str">
        <f t="shared" si="0"/>
        <v>Industri, 8</v>
      </c>
      <c r="K24" s="9">
        <v>8</v>
      </c>
      <c r="L24" s="66">
        <v>291.52411599189003</v>
      </c>
      <c r="M24" s="66">
        <v>22.768677589666581</v>
      </c>
      <c r="N24" s="66">
        <v>14.267856957279754</v>
      </c>
      <c r="O24" s="66">
        <v>93.806881200583319</v>
      </c>
      <c r="P24" s="66">
        <v>6.0514974954027316</v>
      </c>
      <c r="Q24" s="9" t="s">
        <v>474</v>
      </c>
      <c r="BJ24" s="9" t="s">
        <v>267</v>
      </c>
      <c r="BK24" s="66">
        <v>285.32315876185038</v>
      </c>
      <c r="BL24" s="66">
        <v>25.083773220703122</v>
      </c>
      <c r="BM24" s="66">
        <v>12.624557043692633</v>
      </c>
      <c r="BN24" s="66">
        <v>52.682923689105273</v>
      </c>
      <c r="BO24" s="66">
        <v>15.025922923538479</v>
      </c>
      <c r="BP24" s="9" t="s">
        <v>473</v>
      </c>
      <c r="BX24" s="2" t="s">
        <v>479</v>
      </c>
      <c r="BY24" s="2">
        <v>6.0851934789473691E-2</v>
      </c>
      <c r="BZ24" s="2">
        <v>6.6554647058823538E-2</v>
      </c>
      <c r="CA24" s="2">
        <v>4.9345658405682717E-2</v>
      </c>
      <c r="CB24" s="2">
        <v>8.1808829140127395E-2</v>
      </c>
      <c r="CC24" s="2">
        <v>5.4209733984374987E-2</v>
      </c>
      <c r="CD24" s="2">
        <v>2.1372893717277488E-2</v>
      </c>
      <c r="CE24" s="2">
        <v>3.0637005367008672E-2</v>
      </c>
      <c r="CF24" s="2">
        <v>0</v>
      </c>
      <c r="CG24" s="2">
        <v>0.19463678952229299</v>
      </c>
      <c r="CH24" s="136">
        <v>0.21625908251592357</v>
      </c>
      <c r="CI24" s="136">
        <v>0.23788137550955415</v>
      </c>
      <c r="CJ24" s="136">
        <v>0.25950366850318474</v>
      </c>
      <c r="CK24" s="136">
        <v>0.28112596149681529</v>
      </c>
      <c r="CL24" s="136">
        <v>0.3027482544904459</v>
      </c>
      <c r="CM24" s="136">
        <v>0.32437054748407645</v>
      </c>
      <c r="CN24" s="136">
        <v>0.34599284047770701</v>
      </c>
      <c r="CO24" s="136">
        <v>0.36761513347133756</v>
      </c>
      <c r="CP24" s="136">
        <v>0.38923742646496817</v>
      </c>
      <c r="CQ24" s="136">
        <v>0.41085971945859873</v>
      </c>
      <c r="CR24" s="136">
        <v>0.43248201245222917</v>
      </c>
      <c r="CS24" s="136">
        <v>0.45410430544585989</v>
      </c>
      <c r="CT24" s="136">
        <v>0.47572659843949039</v>
      </c>
      <c r="CU24" s="136">
        <v>0.49734889143312094</v>
      </c>
      <c r="CV24" s="136">
        <v>0.51897118442675161</v>
      </c>
      <c r="CW24" s="136">
        <v>0.54059347742038211</v>
      </c>
    </row>
    <row r="25" spans="2:101">
      <c r="B25" s="9" t="s">
        <v>412</v>
      </c>
      <c r="C25" s="66">
        <v>136.25972936244727</v>
      </c>
      <c r="D25" s="66">
        <v>15.79929793193717</v>
      </c>
      <c r="E25" s="66">
        <v>13.940336052836052</v>
      </c>
      <c r="F25" s="66">
        <v>34.390432069185721</v>
      </c>
      <c r="G25" s="66">
        <v>16.498318852502099</v>
      </c>
      <c r="H25" s="9" t="s">
        <v>473</v>
      </c>
      <c r="J25" s="6" t="str">
        <f t="shared" si="0"/>
        <v>Industri, 9</v>
      </c>
      <c r="K25" s="9">
        <v>9</v>
      </c>
      <c r="L25" s="66">
        <v>304.10689115399464</v>
      </c>
      <c r="M25" s="66">
        <v>23.814153685972311</v>
      </c>
      <c r="N25" s="66">
        <v>14.848636373522673</v>
      </c>
      <c r="O25" s="66">
        <v>100.00255850950052</v>
      </c>
      <c r="P25" s="66">
        <v>6.2131110943793884</v>
      </c>
      <c r="Q25" s="9" t="s">
        <v>474</v>
      </c>
      <c r="AG25" s="2" t="s">
        <v>480</v>
      </c>
      <c r="AH25" s="6" t="s">
        <v>481</v>
      </c>
      <c r="BJ25" s="9" t="s">
        <v>412</v>
      </c>
      <c r="BK25" s="66">
        <v>144.07564167837705</v>
      </c>
      <c r="BL25" s="66">
        <v>15.79929793193717</v>
      </c>
      <c r="BM25" s="66">
        <v>13.940336052836052</v>
      </c>
      <c r="BN25" s="66">
        <v>34.390432069185721</v>
      </c>
      <c r="BO25" s="66">
        <v>16.498318852502099</v>
      </c>
      <c r="BP25" s="9" t="s">
        <v>473</v>
      </c>
      <c r="BX25" s="2" t="s">
        <v>482</v>
      </c>
      <c r="BY25" s="2">
        <v>1.2875124554469997</v>
      </c>
      <c r="BZ25" s="2">
        <v>0.77035553548466185</v>
      </c>
      <c r="CA25" s="2">
        <v>0.81473874300362314</v>
      </c>
      <c r="CB25" s="2">
        <v>0.88117569899203652</v>
      </c>
      <c r="CC25" s="2">
        <v>0.99944873979773052</v>
      </c>
      <c r="CD25" s="2">
        <v>0.66643574766643709</v>
      </c>
      <c r="CE25" s="2">
        <v>0.7413876116916952</v>
      </c>
      <c r="CF25" s="2">
        <v>8.6405114760329763E-2</v>
      </c>
      <c r="CG25" s="2">
        <v>1.4301416680827916</v>
      </c>
      <c r="CH25" s="136">
        <v>1.5427230486560399</v>
      </c>
      <c r="CI25" s="136">
        <v>1.6553044292292889</v>
      </c>
      <c r="CJ25" s="136">
        <v>1.7678858098025372</v>
      </c>
      <c r="CK25" s="136">
        <v>1.8804671903757857</v>
      </c>
      <c r="CL25" s="136">
        <v>1.993048570949034</v>
      </c>
      <c r="CM25" s="136">
        <v>2.1056299515222823</v>
      </c>
      <c r="CN25" s="136">
        <v>2.2182113320955308</v>
      </c>
      <c r="CO25" s="136">
        <v>2.3307927126687797</v>
      </c>
      <c r="CP25" s="136">
        <v>2.4433740932420269</v>
      </c>
      <c r="CQ25" s="136">
        <v>2.5559554738152754</v>
      </c>
      <c r="CR25" s="136">
        <v>2.6685368543885235</v>
      </c>
      <c r="CS25" s="136">
        <v>2.7811182349617725</v>
      </c>
      <c r="CT25" s="136">
        <v>2.8936996155350205</v>
      </c>
      <c r="CU25" s="136">
        <v>3.0062809961082695</v>
      </c>
      <c r="CV25" s="136">
        <v>3.1188623766815176</v>
      </c>
      <c r="CW25" s="136">
        <v>3.2314437572547656</v>
      </c>
    </row>
    <row r="26" spans="2:101">
      <c r="B26" s="9" t="s">
        <v>425</v>
      </c>
      <c r="C26" s="66">
        <v>198.75085331496348</v>
      </c>
      <c r="D26" s="66">
        <v>14.357046820811112</v>
      </c>
      <c r="E26" s="66">
        <v>9.4013185843629312</v>
      </c>
      <c r="F26" s="66">
        <v>38.625417260754631</v>
      </c>
      <c r="G26" s="66">
        <v>13.194482325543705</v>
      </c>
      <c r="H26" s="9" t="s">
        <v>473</v>
      </c>
      <c r="J26" s="6" t="str">
        <f t="shared" si="0"/>
        <v>Industri, 10</v>
      </c>
      <c r="K26" s="9">
        <v>10</v>
      </c>
      <c r="L26" s="66">
        <v>317.34000635583004</v>
      </c>
      <c r="M26" s="66">
        <v>24.897349502278043</v>
      </c>
      <c r="N26" s="66">
        <v>15.455365336579998</v>
      </c>
      <c r="O26" s="66">
        <v>106.19823581841774</v>
      </c>
      <c r="P26" s="66">
        <v>6.376405088646905</v>
      </c>
      <c r="Q26" s="9" t="s">
        <v>474</v>
      </c>
      <c r="AG26" s="2" t="s">
        <v>483</v>
      </c>
      <c r="BJ26" s="9" t="s">
        <v>425</v>
      </c>
      <c r="BK26" s="66">
        <v>230.54898908923764</v>
      </c>
      <c r="BL26" s="66">
        <v>14.357046820811112</v>
      </c>
      <c r="BM26" s="66">
        <v>9.4013185843629312</v>
      </c>
      <c r="BN26" s="66">
        <v>38.625417260754631</v>
      </c>
      <c r="BO26" s="66">
        <v>13.194482325543705</v>
      </c>
      <c r="BP26" s="9" t="s">
        <v>473</v>
      </c>
      <c r="BX26" s="2" t="s">
        <v>484</v>
      </c>
      <c r="BY26" s="2">
        <v>0.21598970678710816</v>
      </c>
      <c r="BZ26" s="2">
        <v>0.32367740073739543</v>
      </c>
      <c r="CA26" s="2">
        <v>0.22896748224151536</v>
      </c>
      <c r="CB26" s="2">
        <v>0.19096563435834546</v>
      </c>
      <c r="CC26" s="2">
        <v>0.30051845847076958</v>
      </c>
      <c r="CD26" s="2">
        <v>0.32996637705004195</v>
      </c>
      <c r="CE26" s="2">
        <v>0.2638896465108741</v>
      </c>
      <c r="CF26" s="2">
        <v>0.20563351871580726</v>
      </c>
      <c r="CG26" s="2">
        <v>0.10865284532181814</v>
      </c>
      <c r="CH26" s="136">
        <v>0.11172064198197072</v>
      </c>
      <c r="CI26" s="136">
        <v>0.11478843864212332</v>
      </c>
      <c r="CJ26" s="136">
        <v>0.11785623530227593</v>
      </c>
      <c r="CK26" s="136">
        <v>0.12102994990805463</v>
      </c>
      <c r="CL26" s="136">
        <v>0.12426222188758777</v>
      </c>
      <c r="CM26" s="136">
        <v>0.12752810177293811</v>
      </c>
      <c r="CN26" s="136">
        <v>0.13082758956410562</v>
      </c>
      <c r="CO26" s="136">
        <v>0.13416068526109023</v>
      </c>
      <c r="CP26" s="136">
        <v>0.13752738886389212</v>
      </c>
      <c r="CQ26" s="136">
        <v>0.14092770037251115</v>
      </c>
      <c r="CR26" s="136">
        <v>0.14436161978694728</v>
      </c>
      <c r="CS26" s="136">
        <v>0.14782914710720069</v>
      </c>
      <c r="CT26" s="136">
        <v>0.1513302823332712</v>
      </c>
      <c r="CU26" s="136">
        <v>0.15486502546515893</v>
      </c>
      <c r="CV26" s="136">
        <v>0.15843337650286382</v>
      </c>
      <c r="CW26" s="136">
        <v>0.16203533544638588</v>
      </c>
    </row>
    <row r="27" spans="2:101">
      <c r="B27" s="9" t="s">
        <v>427</v>
      </c>
      <c r="C27" s="66">
        <v>158.78581602584777</v>
      </c>
      <c r="D27" s="66">
        <v>12.226331350786714</v>
      </c>
      <c r="E27" s="66">
        <v>7.0415635869287962</v>
      </c>
      <c r="F27" s="66">
        <v>4.4907839912688345</v>
      </c>
      <c r="G27" s="66">
        <v>10.281675935790362</v>
      </c>
      <c r="H27" s="9" t="s">
        <v>473</v>
      </c>
      <c r="J27" s="6" t="str">
        <f t="shared" si="0"/>
        <v>Industri, 11</v>
      </c>
      <c r="K27" s="9">
        <v>11</v>
      </c>
      <c r="L27" s="66">
        <v>331.22346159739607</v>
      </c>
      <c r="M27" s="66">
        <v>26.018265038583777</v>
      </c>
      <c r="N27" s="66">
        <v>16.088043846451725</v>
      </c>
      <c r="O27" s="66">
        <v>112.39391312733493</v>
      </c>
      <c r="P27" s="66">
        <v>6.5413794782052808</v>
      </c>
      <c r="Q27" s="9" t="s">
        <v>474</v>
      </c>
      <c r="AG27" s="2" t="s">
        <v>485</v>
      </c>
      <c r="BJ27" s="9" t="s">
        <v>427</v>
      </c>
      <c r="BK27" s="66">
        <v>185.73249154778253</v>
      </c>
      <c r="BL27" s="66">
        <v>12.226331350786714</v>
      </c>
      <c r="BM27" s="66">
        <v>7.0415635869287962</v>
      </c>
      <c r="BN27" s="66">
        <v>4.4907839912688345</v>
      </c>
      <c r="BO27" s="66">
        <v>10.281675935790362</v>
      </c>
      <c r="BP27" s="9" t="s">
        <v>473</v>
      </c>
    </row>
    <row r="28" spans="2:101" hidden="1">
      <c r="B28" s="11" t="s">
        <v>397</v>
      </c>
      <c r="C28" s="102">
        <v>0</v>
      </c>
      <c r="D28" s="102">
        <v>0</v>
      </c>
      <c r="E28" s="102">
        <v>0</v>
      </c>
      <c r="F28" s="102">
        <v>0</v>
      </c>
      <c r="G28" s="102">
        <v>0</v>
      </c>
      <c r="H28" s="11"/>
      <c r="J28" s="6" t="str">
        <f t="shared" si="0"/>
        <v>Industri, 12</v>
      </c>
      <c r="K28" s="9">
        <v>12</v>
      </c>
      <c r="L28" s="66">
        <v>345.75725687869271</v>
      </c>
      <c r="M28" s="66">
        <v>27.176900294889514</v>
      </c>
      <c r="N28" s="66">
        <v>16.746671903137866</v>
      </c>
      <c r="O28" s="66">
        <v>118.58959043625214</v>
      </c>
      <c r="P28" s="66">
        <v>6.708034263054512</v>
      </c>
      <c r="Q28" s="9" t="s">
        <v>474</v>
      </c>
      <c r="BJ28" s="11" t="s">
        <v>397</v>
      </c>
      <c r="BK28" s="102">
        <v>0</v>
      </c>
      <c r="BL28" s="102">
        <v>0</v>
      </c>
      <c r="BM28" s="102">
        <v>0</v>
      </c>
      <c r="BN28" s="102">
        <v>0</v>
      </c>
      <c r="BO28" s="102">
        <v>0</v>
      </c>
      <c r="BP28" s="11"/>
      <c r="BX28" s="2" t="s">
        <v>486</v>
      </c>
      <c r="BY28" s="2" t="s">
        <v>472</v>
      </c>
      <c r="BZ28" s="2" t="s">
        <v>475</v>
      </c>
      <c r="CA28" s="2" t="s">
        <v>476</v>
      </c>
      <c r="CB28" s="2" t="s">
        <v>477</v>
      </c>
      <c r="CC28" s="2" t="s">
        <v>478</v>
      </c>
      <c r="CD28" s="2" t="s">
        <v>479</v>
      </c>
      <c r="CE28" s="2" t="s">
        <v>482</v>
      </c>
      <c r="CF28" s="2" t="s">
        <v>484</v>
      </c>
      <c r="CH28" s="2" t="s">
        <v>179</v>
      </c>
    </row>
    <row r="29" spans="2:101" ht="13.9" hidden="1" customHeight="1">
      <c r="B29" s="9" t="s">
        <v>487</v>
      </c>
      <c r="C29" s="66">
        <v>0</v>
      </c>
      <c r="D29" s="66">
        <v>0</v>
      </c>
      <c r="E29" s="66">
        <v>0</v>
      </c>
      <c r="F29" s="66">
        <v>0</v>
      </c>
      <c r="G29" s="66">
        <v>0</v>
      </c>
      <c r="H29" s="9" t="s">
        <v>474</v>
      </c>
      <c r="J29" s="6" t="str">
        <f t="shared" si="0"/>
        <v>Industri, 13</v>
      </c>
      <c r="K29" s="9">
        <v>13</v>
      </c>
      <c r="L29" s="66">
        <v>360.9413921997201</v>
      </c>
      <c r="M29" s="66">
        <v>28.373255271195241</v>
      </c>
      <c r="N29" s="66">
        <v>17.431249506638395</v>
      </c>
      <c r="O29" s="66">
        <v>124.78526774516931</v>
      </c>
      <c r="P29" s="66">
        <v>6.8763694431946059</v>
      </c>
      <c r="Q29" s="9" t="s">
        <v>474</v>
      </c>
      <c r="BX29" s="2" t="s">
        <v>446</v>
      </c>
      <c r="BY29" s="2">
        <v>4.6425172172534372</v>
      </c>
      <c r="BZ29" s="2">
        <v>8.4693405985217171E-2</v>
      </c>
      <c r="CA29" s="2">
        <v>0.41941715526315798</v>
      </c>
      <c r="CB29" s="2">
        <v>0.20112364837625976</v>
      </c>
      <c r="CC29" s="2">
        <v>0.37102521052631571</v>
      </c>
      <c r="CD29" s="2">
        <v>6.0851934789473691E-2</v>
      </c>
      <c r="CE29" s="2">
        <v>1.2875124554469997</v>
      </c>
      <c r="CF29" s="2">
        <v>0.21598970678710816</v>
      </c>
    </row>
    <row r="30" spans="2:101">
      <c r="B30" s="9" t="s">
        <v>454</v>
      </c>
      <c r="C30" s="66">
        <v>251.87433729041996</v>
      </c>
      <c r="D30" s="66">
        <v>19.206289839519052</v>
      </c>
      <c r="E30" s="66">
        <v>12.370940121057368</v>
      </c>
      <c r="F30" s="66">
        <v>69.024171964914515</v>
      </c>
      <c r="G30" s="66">
        <v>5.4326422660909071</v>
      </c>
      <c r="H30" s="9" t="s">
        <v>474</v>
      </c>
      <c r="J30" s="6" t="str">
        <f t="shared" si="0"/>
        <v>Industri, 14</v>
      </c>
      <c r="K30" s="9">
        <v>14</v>
      </c>
      <c r="L30" s="66">
        <v>376.7758675604781</v>
      </c>
      <c r="M30" s="66">
        <v>29.607329967500966</v>
      </c>
      <c r="N30" s="66">
        <v>18.141776656953343</v>
      </c>
      <c r="O30" s="66">
        <v>130.98094505408653</v>
      </c>
      <c r="P30" s="66">
        <v>7.0463850186255579</v>
      </c>
      <c r="Q30" s="9" t="s">
        <v>474</v>
      </c>
      <c r="BJ30" s="9" t="s">
        <v>454</v>
      </c>
      <c r="BK30" s="66">
        <v>293.5288362733346</v>
      </c>
      <c r="BL30" s="66">
        <v>36.646484061611069</v>
      </c>
      <c r="BM30" s="66">
        <v>12.370940121057368</v>
      </c>
      <c r="BN30" s="66">
        <v>81.238922880254222</v>
      </c>
      <c r="BO30" s="66">
        <v>5.4326422660909071</v>
      </c>
      <c r="BP30" s="9" t="s">
        <v>473</v>
      </c>
      <c r="BX30" s="2" t="s">
        <v>446</v>
      </c>
      <c r="BY30" s="2" cm="1">
        <f t="array" ref="BY30:CF54">TRANSPOSE(BY19:CW26)</f>
        <v>5.2267474325155607</v>
      </c>
      <c r="BZ30" s="2">
        <v>8.4693405985217171E-2</v>
      </c>
      <c r="CA30" s="2">
        <v>0.41941715526315798</v>
      </c>
      <c r="CB30" s="2">
        <v>0.20112364837625976</v>
      </c>
      <c r="CC30" s="2">
        <v>0.37102521052631571</v>
      </c>
      <c r="CD30" s="2">
        <v>6.0851934789473691E-2</v>
      </c>
      <c r="CE30" s="2">
        <v>1.2875124554469997</v>
      </c>
      <c r="CF30" s="2">
        <v>0.21598970678710816</v>
      </c>
      <c r="CH30" s="2">
        <f>CD30+CE30</f>
        <v>1.3483643902364733</v>
      </c>
    </row>
    <row r="31" spans="2:101">
      <c r="B31" s="9" t="s">
        <v>455</v>
      </c>
      <c r="C31" s="66">
        <v>261.27438258168564</v>
      </c>
      <c r="D31" s="66">
        <v>20.067167614593636</v>
      </c>
      <c r="E31" s="66">
        <v>12.824723823157976</v>
      </c>
      <c r="F31" s="66">
        <v>75.219849273831727</v>
      </c>
      <c r="G31" s="66">
        <v>5.5860320990985359</v>
      </c>
      <c r="H31" s="9" t="s">
        <v>474</v>
      </c>
      <c r="J31" s="6" t="str">
        <f t="shared" ref="J31:J36" si="1">"Industri, "&amp;K31</f>
        <v>Industri, 15</v>
      </c>
      <c r="K31" s="9">
        <v>15</v>
      </c>
      <c r="L31" s="66">
        <v>393.26068296096685</v>
      </c>
      <c r="M31" s="66">
        <v>30.879124383806705</v>
      </c>
      <c r="N31" s="66">
        <v>18.878253354082684</v>
      </c>
      <c r="O31" s="66">
        <v>137.17662236300367</v>
      </c>
      <c r="P31" s="66">
        <v>7.2180809893473636</v>
      </c>
      <c r="Q31" s="9" t="s">
        <v>474</v>
      </c>
      <c r="BJ31" s="9" t="s">
        <v>455</v>
      </c>
      <c r="BK31" s="66">
        <v>303.56895211389656</v>
      </c>
      <c r="BL31" s="66">
        <v>38.289078437040736</v>
      </c>
      <c r="BM31" s="66">
        <v>12.824723823157974</v>
      </c>
      <c r="BN31" s="66">
        <v>87.949106558598174</v>
      </c>
      <c r="BO31" s="66">
        <v>5.5860320990985359</v>
      </c>
      <c r="BP31" s="9" t="s">
        <v>473</v>
      </c>
      <c r="BX31" s="2" t="s">
        <v>447</v>
      </c>
      <c r="BY31" s="2">
        <v>6.4540551388141658</v>
      </c>
      <c r="BZ31" s="2">
        <v>0.11858763282642076</v>
      </c>
      <c r="CA31" s="2">
        <v>0.65191435588235269</v>
      </c>
      <c r="CB31" s="2">
        <v>0.30577827709479677</v>
      </c>
      <c r="CC31" s="2">
        <v>0.3710251521298174</v>
      </c>
      <c r="CD31" s="2">
        <v>6.6554647058823538E-2</v>
      </c>
      <c r="CE31" s="2">
        <v>0.77035553548466185</v>
      </c>
      <c r="CF31" s="2">
        <v>0.32367740073739543</v>
      </c>
      <c r="CH31" s="2">
        <f t="shared" ref="CH31:CH37" si="2">CD31+CE31</f>
        <v>0.83691018254348537</v>
      </c>
    </row>
    <row r="32" spans="2:101">
      <c r="B32" s="9" t="s">
        <v>456</v>
      </c>
      <c r="C32" s="66">
        <v>270.67442787295136</v>
      </c>
      <c r="D32" s="66">
        <v>20.92804538966822</v>
      </c>
      <c r="E32" s="66">
        <v>13.278507525258577</v>
      </c>
      <c r="F32" s="66">
        <v>81.415526582748925</v>
      </c>
      <c r="G32" s="66">
        <v>5.7394219321061657</v>
      </c>
      <c r="H32" s="9" t="s">
        <v>474</v>
      </c>
      <c r="J32" s="6" t="str">
        <f t="shared" si="1"/>
        <v>Industri, 16</v>
      </c>
      <c r="K32" s="9">
        <v>16</v>
      </c>
      <c r="L32" s="66">
        <v>410.39583840118632</v>
      </c>
      <c r="M32" s="66">
        <v>32.188638520112434</v>
      </c>
      <c r="N32" s="66">
        <v>19.640679598026441</v>
      </c>
      <c r="O32" s="66">
        <v>143.37229967192093</v>
      </c>
      <c r="P32" s="66">
        <v>7.3914573553600347</v>
      </c>
      <c r="Q32" s="9" t="s">
        <v>474</v>
      </c>
      <c r="AG32" s="2" t="s">
        <v>488</v>
      </c>
      <c r="AH32" s="2" t="s">
        <v>489</v>
      </c>
      <c r="BJ32" s="9" t="s">
        <v>456</v>
      </c>
      <c r="BK32" s="66">
        <v>313.60906795445851</v>
      </c>
      <c r="BL32" s="66">
        <v>39.931672812470403</v>
      </c>
      <c r="BM32" s="66">
        <v>13.278507525258576</v>
      </c>
      <c r="BN32" s="66">
        <v>94.659290236942155</v>
      </c>
      <c r="BO32" s="66">
        <v>5.7394219321061657</v>
      </c>
      <c r="BP32" s="9" t="s">
        <v>473</v>
      </c>
      <c r="BX32" s="2" t="s">
        <v>448</v>
      </c>
      <c r="BY32" s="2">
        <v>5.2534363517534048</v>
      </c>
      <c r="BZ32" s="2">
        <v>7.8822217837411154E-2</v>
      </c>
      <c r="CA32" s="2">
        <v>0.43691226617995277</v>
      </c>
      <c r="CB32" s="2">
        <v>0.2108553275453828</v>
      </c>
      <c r="CC32" s="2">
        <v>0.37102519415258106</v>
      </c>
      <c r="CD32" s="2">
        <v>4.9345658405682717E-2</v>
      </c>
      <c r="CE32" s="2">
        <v>0.81473874300362314</v>
      </c>
      <c r="CF32" s="2">
        <v>0.22896748224151536</v>
      </c>
      <c r="CH32" s="2">
        <f t="shared" si="2"/>
        <v>0.86408440140930587</v>
      </c>
    </row>
    <row r="33" spans="2:86">
      <c r="B33" s="9" t="s">
        <v>457</v>
      </c>
      <c r="C33" s="66">
        <v>280.07447316421701</v>
      </c>
      <c r="D33" s="66">
        <v>21.788923164742801</v>
      </c>
      <c r="E33" s="66">
        <v>13.732291227359186</v>
      </c>
      <c r="F33" s="66">
        <v>87.611203891666122</v>
      </c>
      <c r="G33" s="66">
        <v>5.8928117651137963</v>
      </c>
      <c r="H33" s="9" t="s">
        <v>474</v>
      </c>
      <c r="J33" s="6" t="str">
        <f t="shared" si="1"/>
        <v>Industri, 17</v>
      </c>
      <c r="K33" s="9">
        <v>17</v>
      </c>
      <c r="L33" s="66">
        <v>428.18133388113642</v>
      </c>
      <c r="M33" s="66">
        <v>33.535872376418169</v>
      </c>
      <c r="N33" s="66">
        <v>20.429055388784597</v>
      </c>
      <c r="O33" s="66">
        <v>149.5679769808381</v>
      </c>
      <c r="P33" s="66">
        <v>7.5665141166635603</v>
      </c>
      <c r="Q33" s="9" t="s">
        <v>474</v>
      </c>
      <c r="AG33" s="2" t="s">
        <v>490</v>
      </c>
      <c r="BJ33" s="9" t="s">
        <v>457</v>
      </c>
      <c r="BK33" s="66">
        <v>323.64918379502046</v>
      </c>
      <c r="BL33" s="66">
        <v>41.574267187900062</v>
      </c>
      <c r="BM33" s="66">
        <v>13.732291227359186</v>
      </c>
      <c r="BN33" s="66">
        <v>101.36947391528611</v>
      </c>
      <c r="BO33" s="66">
        <v>5.8928117651137963</v>
      </c>
      <c r="BP33" s="9" t="s">
        <v>473</v>
      </c>
      <c r="BX33" s="2" t="s">
        <v>449</v>
      </c>
      <c r="BY33" s="2">
        <v>4.5151597124082512</v>
      </c>
      <c r="BZ33" s="2">
        <v>6.9810990810617216E-2</v>
      </c>
      <c r="CA33" s="2">
        <v>0.43234842024946912</v>
      </c>
      <c r="CB33" s="2">
        <v>0.19955410053841008</v>
      </c>
      <c r="CC33" s="2">
        <v>0.37102519415258106</v>
      </c>
      <c r="CD33" s="2">
        <v>8.1808829140127395E-2</v>
      </c>
      <c r="CE33" s="2">
        <v>0.88117569899203652</v>
      </c>
      <c r="CF33" s="2">
        <v>0.19096563435834546</v>
      </c>
      <c r="CH33" s="2">
        <f t="shared" si="2"/>
        <v>0.96298452813216395</v>
      </c>
    </row>
    <row r="34" spans="2:86">
      <c r="B34" s="9" t="s">
        <v>458</v>
      </c>
      <c r="C34" s="66">
        <v>291.52411599189003</v>
      </c>
      <c r="D34" s="66">
        <v>22.768677589666581</v>
      </c>
      <c r="E34" s="66">
        <v>14.267856957279754</v>
      </c>
      <c r="F34" s="66">
        <v>93.806881200583319</v>
      </c>
      <c r="G34" s="66">
        <v>6.0514974954027316</v>
      </c>
      <c r="H34" s="9" t="s">
        <v>474</v>
      </c>
      <c r="J34" s="6" t="str">
        <f t="shared" si="1"/>
        <v>Industri, 18</v>
      </c>
      <c r="K34" s="9">
        <v>18</v>
      </c>
      <c r="L34" s="66">
        <v>446.61716940081715</v>
      </c>
      <c r="M34" s="66">
        <v>34.920825952723902</v>
      </c>
      <c r="N34" s="66">
        <v>21.243380726357152</v>
      </c>
      <c r="O34" s="66">
        <v>155.76365428975529</v>
      </c>
      <c r="P34" s="66">
        <v>7.7432512732579468</v>
      </c>
      <c r="Q34" s="9" t="s">
        <v>474</v>
      </c>
      <c r="BJ34" s="9" t="s">
        <v>458</v>
      </c>
      <c r="BK34" s="66">
        <v>336.15940201518191</v>
      </c>
      <c r="BL34" s="66">
        <v>43.443683676835079</v>
      </c>
      <c r="BM34" s="66">
        <v>14.267856957279754</v>
      </c>
      <c r="BN34" s="66">
        <v>108.07965759363005</v>
      </c>
      <c r="BO34" s="66">
        <v>6.0514974954027316</v>
      </c>
      <c r="BP34" s="9" t="s">
        <v>473</v>
      </c>
      <c r="BX34" s="2" t="s">
        <v>267</v>
      </c>
      <c r="BY34" s="2">
        <v>5.7064631752370074</v>
      </c>
      <c r="BZ34" s="2">
        <v>8.3723828714705559E-2</v>
      </c>
      <c r="CA34" s="2">
        <v>0.50167546441406274</v>
      </c>
      <c r="CB34" s="2">
        <v>0.2524911408738526</v>
      </c>
      <c r="CC34" s="2">
        <v>0.37102515625000004</v>
      </c>
      <c r="CD34" s="2">
        <v>5.4209733984374987E-2</v>
      </c>
      <c r="CE34" s="2">
        <v>0.99944873979773052</v>
      </c>
      <c r="CF34" s="2">
        <v>0.30051845847076958</v>
      </c>
      <c r="CH34" s="2">
        <f t="shared" si="2"/>
        <v>1.0536584737821055</v>
      </c>
    </row>
    <row r="35" spans="2:86">
      <c r="B35" s="9" t="s">
        <v>459</v>
      </c>
      <c r="C35" s="66">
        <v>304.10689115399464</v>
      </c>
      <c r="D35" s="66">
        <v>23.814153685972311</v>
      </c>
      <c r="E35" s="66">
        <v>14.848636373522673</v>
      </c>
      <c r="F35" s="66">
        <v>100.00255850950052</v>
      </c>
      <c r="G35" s="66">
        <v>6.2131110943793884</v>
      </c>
      <c r="H35" s="9" t="s">
        <v>474</v>
      </c>
      <c r="J35" s="6" t="str">
        <f t="shared" si="1"/>
        <v>Industri, 19</v>
      </c>
      <c r="K35" s="9">
        <v>19</v>
      </c>
      <c r="L35" s="66">
        <v>465.70334496022861</v>
      </c>
      <c r="M35" s="66">
        <v>36.343499249029634</v>
      </c>
      <c r="N35" s="66">
        <v>22.083655610744124</v>
      </c>
      <c r="O35" s="66">
        <v>161.95933159867252</v>
      </c>
      <c r="P35" s="66">
        <v>7.9216688251431915</v>
      </c>
      <c r="Q35" s="9" t="s">
        <v>474</v>
      </c>
      <c r="BJ35" s="9" t="s">
        <v>459</v>
      </c>
      <c r="BK35" s="66">
        <v>350.03523120333239</v>
      </c>
      <c r="BL35" s="66">
        <v>45.438500136452916</v>
      </c>
      <c r="BM35" s="66">
        <v>14.848636373522673</v>
      </c>
      <c r="BN35" s="66">
        <v>114.789841271974</v>
      </c>
      <c r="BO35" s="66">
        <v>6.2131110943793884</v>
      </c>
      <c r="BP35" s="9" t="s">
        <v>473</v>
      </c>
      <c r="BX35" s="2" t="s">
        <v>412</v>
      </c>
      <c r="BY35" s="2">
        <v>2.8815128335675411</v>
      </c>
      <c r="BZ35" s="2">
        <v>4.1068107787919278E-2</v>
      </c>
      <c r="CA35" s="2">
        <v>0.31598595863924445</v>
      </c>
      <c r="CB35" s="2">
        <v>0.27880672107766341</v>
      </c>
      <c r="CC35" s="2">
        <v>0.37102513089005235</v>
      </c>
      <c r="CD35" s="2">
        <v>2.1372893717277488E-2</v>
      </c>
      <c r="CE35" s="2">
        <v>0.66643574766643709</v>
      </c>
      <c r="CF35" s="2">
        <v>0.32996637705004195</v>
      </c>
      <c r="CH35" s="2">
        <f t="shared" si="2"/>
        <v>0.68780864138371456</v>
      </c>
    </row>
    <row r="36" spans="2:86">
      <c r="B36" s="9" t="s">
        <v>460</v>
      </c>
      <c r="C36" s="66">
        <v>317.34000635583004</v>
      </c>
      <c r="D36" s="66">
        <v>24.897349502278043</v>
      </c>
      <c r="E36" s="66">
        <v>15.455365336579998</v>
      </c>
      <c r="F36" s="66">
        <v>106.19823581841774</v>
      </c>
      <c r="G36" s="66">
        <v>6.376405088646905</v>
      </c>
      <c r="H36" s="9" t="s">
        <v>474</v>
      </c>
      <c r="J36" s="6" t="str">
        <f t="shared" si="1"/>
        <v>Industri, 20</v>
      </c>
      <c r="K36" s="9">
        <v>20</v>
      </c>
      <c r="L36" s="66">
        <v>485.4398605593708</v>
      </c>
      <c r="M36" s="66">
        <v>37.803892265335371</v>
      </c>
      <c r="N36" s="66">
        <v>22.949880041945491</v>
      </c>
      <c r="O36" s="66">
        <v>168.15500890758966</v>
      </c>
      <c r="P36" s="66">
        <v>8.1017667723192943</v>
      </c>
      <c r="Q36" s="9" t="s">
        <v>474</v>
      </c>
      <c r="BJ36" s="9" t="s">
        <v>460</v>
      </c>
      <c r="BK36" s="66">
        <v>364.69482718040234</v>
      </c>
      <c r="BL36" s="66">
        <v>47.505287556070755</v>
      </c>
      <c r="BM36" s="66">
        <v>15.455365336579998</v>
      </c>
      <c r="BN36" s="66">
        <v>121.50002495031794</v>
      </c>
      <c r="BO36" s="66">
        <v>6.376405088646905</v>
      </c>
      <c r="BP36" s="9" t="s">
        <v>473</v>
      </c>
      <c r="BX36" s="2" t="s">
        <v>425</v>
      </c>
      <c r="BY36" s="2">
        <v>4.6109797817847529</v>
      </c>
      <c r="BZ36" s="2">
        <v>0.15809461018363188</v>
      </c>
      <c r="CA36" s="2">
        <v>0.28714093641622229</v>
      </c>
      <c r="CB36" s="2">
        <v>0.18802637168725864</v>
      </c>
      <c r="CC36" s="2">
        <v>0.37102519415258106</v>
      </c>
      <c r="CD36" s="2">
        <v>3.0637005367008672E-2</v>
      </c>
      <c r="CE36" s="2">
        <v>0.7413876116916952</v>
      </c>
      <c r="CF36" s="2">
        <v>0.2638896465108741</v>
      </c>
      <c r="CH36" s="2">
        <f t="shared" si="2"/>
        <v>0.77202461705870384</v>
      </c>
    </row>
    <row r="37" spans="2:86">
      <c r="B37" s="9" t="s">
        <v>461</v>
      </c>
      <c r="C37" s="66">
        <v>331.22346159739607</v>
      </c>
      <c r="D37" s="66">
        <v>26.018265038583777</v>
      </c>
      <c r="E37" s="66">
        <v>16.088043846451725</v>
      </c>
      <c r="F37" s="66">
        <v>112.39391312733493</v>
      </c>
      <c r="G37" s="66">
        <v>6.5413794782052808</v>
      </c>
      <c r="H37" s="9" t="s">
        <v>474</v>
      </c>
      <c r="J37" s="6"/>
      <c r="K37" s="6"/>
      <c r="L37" s="6"/>
      <c r="M37" s="6"/>
      <c r="N37" s="6"/>
      <c r="O37" s="6"/>
      <c r="P37" s="6"/>
      <c r="Q37" s="6"/>
      <c r="BJ37" s="9" t="s">
        <v>461</v>
      </c>
      <c r="BK37" s="66">
        <v>380.13818994639217</v>
      </c>
      <c r="BL37" s="66">
        <v>49.644045935688595</v>
      </c>
      <c r="BM37" s="66">
        <v>16.088043846451725</v>
      </c>
      <c r="BN37" s="66">
        <v>128.21020862866189</v>
      </c>
      <c r="BO37" s="66">
        <v>6.5413794782052808</v>
      </c>
      <c r="BP37" s="9" t="s">
        <v>473</v>
      </c>
      <c r="BX37" s="2" t="s">
        <v>427</v>
      </c>
      <c r="BY37" s="2">
        <v>3.7146498309556506</v>
      </c>
      <c r="BZ37" s="2">
        <v>0.11620499377290149</v>
      </c>
      <c r="CA37" s="2">
        <v>0.24452662701573435</v>
      </c>
      <c r="CB37" s="2">
        <v>0.1408312717385759</v>
      </c>
      <c r="CC37" s="2">
        <v>0.37102519415258106</v>
      </c>
      <c r="CD37" s="2">
        <v>0</v>
      </c>
      <c r="CE37" s="2">
        <v>8.6405114760329763E-2</v>
      </c>
      <c r="CF37" s="2">
        <v>0.20563351871580726</v>
      </c>
      <c r="CH37" s="2">
        <f t="shared" si="2"/>
        <v>8.6405114760329763E-2</v>
      </c>
    </row>
    <row r="38" spans="2:86">
      <c r="B38" s="9" t="s">
        <v>462</v>
      </c>
      <c r="C38" s="66">
        <v>345.75725687869271</v>
      </c>
      <c r="D38" s="66">
        <v>27.176900294889514</v>
      </c>
      <c r="E38" s="66">
        <v>16.746671903137866</v>
      </c>
      <c r="F38" s="66">
        <v>118.58959043625214</v>
      </c>
      <c r="G38" s="66">
        <v>6.708034263054512</v>
      </c>
      <c r="H38" s="9" t="s">
        <v>474</v>
      </c>
      <c r="J38" s="6"/>
      <c r="K38" s="6"/>
      <c r="L38" s="6"/>
      <c r="M38" s="6"/>
      <c r="N38" s="6"/>
      <c r="O38" s="6"/>
      <c r="P38" s="6"/>
      <c r="Q38" s="6"/>
      <c r="BJ38" s="9" t="s">
        <v>462</v>
      </c>
      <c r="BK38" s="66">
        <v>396.36531950130149</v>
      </c>
      <c r="BL38" s="66">
        <v>51.85477527530643</v>
      </c>
      <c r="BM38" s="66">
        <v>16.746671903137862</v>
      </c>
      <c r="BN38" s="66">
        <v>134.92039230700587</v>
      </c>
      <c r="BO38" s="66">
        <v>6.708034263054512</v>
      </c>
      <c r="BP38" s="9" t="s">
        <v>473</v>
      </c>
      <c r="BX38" s="9" t="s">
        <v>454</v>
      </c>
      <c r="BY38" s="2">
        <v>5.8705767254666918</v>
      </c>
      <c r="BZ38" s="2">
        <v>0.10414483908581387</v>
      </c>
      <c r="CA38" s="2">
        <v>0.73292968123222135</v>
      </c>
      <c r="CB38" s="2">
        <v>0.24741880242114736</v>
      </c>
      <c r="CC38" s="2">
        <v>0.37102515923566881</v>
      </c>
      <c r="CD38" s="2">
        <v>0.19463678952229299</v>
      </c>
      <c r="CE38" s="2">
        <v>1.4301416680827916</v>
      </c>
      <c r="CF38" s="2">
        <v>0.10865284532181814</v>
      </c>
      <c r="CH38" s="2">
        <f t="shared" ref="CH38:CH54" si="3">CD38+CE38</f>
        <v>1.6247784576050845</v>
      </c>
    </row>
    <row r="39" spans="2:86">
      <c r="B39" s="9" t="s">
        <v>463</v>
      </c>
      <c r="C39" s="66">
        <v>360.9413921997201</v>
      </c>
      <c r="D39" s="66">
        <v>28.373255271195241</v>
      </c>
      <c r="E39" s="66">
        <v>17.431249506638395</v>
      </c>
      <c r="F39" s="66">
        <v>124.78526774516931</v>
      </c>
      <c r="G39" s="66">
        <v>6.8763694431946059</v>
      </c>
      <c r="H39" s="9" t="s">
        <v>474</v>
      </c>
      <c r="J39" s="6"/>
      <c r="K39" s="6"/>
      <c r="L39" s="6"/>
      <c r="M39" s="6"/>
      <c r="N39" s="6"/>
      <c r="O39" s="6"/>
      <c r="P39" s="6"/>
      <c r="Q39" s="6"/>
      <c r="BJ39" s="9" t="s">
        <v>463</v>
      </c>
      <c r="BK39" s="66">
        <v>413.37621584513056</v>
      </c>
      <c r="BL39" s="66">
        <v>54.137475574924267</v>
      </c>
      <c r="BM39" s="66">
        <v>17.431249506638398</v>
      </c>
      <c r="BN39" s="66">
        <v>141.63057598534976</v>
      </c>
      <c r="BO39" s="66">
        <v>6.8763694431946059</v>
      </c>
      <c r="BP39" s="9" t="s">
        <v>473</v>
      </c>
      <c r="BX39" s="9" t="s">
        <v>455</v>
      </c>
      <c r="BY39" s="2">
        <v>6.0713790422779308</v>
      </c>
      <c r="BZ39" s="2">
        <v>0.10421895843932349</v>
      </c>
      <c r="CA39" s="2">
        <v>0.76578156874081471</v>
      </c>
      <c r="CB39" s="2">
        <v>0.25649447646315948</v>
      </c>
      <c r="CC39" s="2">
        <v>0.37102515923566881</v>
      </c>
      <c r="CD39" s="2">
        <v>0.21625908251592357</v>
      </c>
      <c r="CE39" s="2">
        <v>1.5427230486560399</v>
      </c>
      <c r="CF39" s="2">
        <v>0.11172064198197072</v>
      </c>
      <c r="CH39" s="2">
        <f t="shared" si="3"/>
        <v>1.7589821311719636</v>
      </c>
    </row>
    <row r="40" spans="2:86">
      <c r="B40" s="9" t="s">
        <v>464</v>
      </c>
      <c r="C40" s="66">
        <v>376.7758675604781</v>
      </c>
      <c r="D40" s="66">
        <v>29.607329967500966</v>
      </c>
      <c r="E40" s="66">
        <v>18.141776656953343</v>
      </c>
      <c r="F40" s="66">
        <v>130.98094505408653</v>
      </c>
      <c r="G40" s="66">
        <v>7.0463850186255579</v>
      </c>
      <c r="H40" s="9" t="s">
        <v>474</v>
      </c>
      <c r="J40" s="6"/>
      <c r="K40" s="6"/>
      <c r="L40" s="6"/>
      <c r="M40" s="6"/>
      <c r="N40" s="6"/>
      <c r="O40" s="6"/>
      <c r="P40" s="6"/>
      <c r="Q40" s="6"/>
      <c r="BJ40" s="9" t="s">
        <v>464</v>
      </c>
      <c r="BK40" s="66">
        <v>431.17087897787923</v>
      </c>
      <c r="BL40" s="66">
        <v>56.492146834542098</v>
      </c>
      <c r="BM40" s="66">
        <v>18.14177665695334</v>
      </c>
      <c r="BN40" s="66">
        <v>148.34075966369372</v>
      </c>
      <c r="BO40" s="66">
        <v>7.0463850186255579</v>
      </c>
      <c r="BP40" s="9" t="s">
        <v>473</v>
      </c>
      <c r="BX40" s="9" t="s">
        <v>456</v>
      </c>
      <c r="BY40" s="2">
        <v>6.2721813590891706</v>
      </c>
      <c r="BZ40" s="2">
        <v>0.10429795342887585</v>
      </c>
      <c r="CA40" s="2">
        <v>0.79863345624940807</v>
      </c>
      <c r="CB40" s="2">
        <v>0.26557015050517152</v>
      </c>
      <c r="CC40" s="2">
        <v>0.37102515923566881</v>
      </c>
      <c r="CD40" s="2">
        <v>0.23788137550955415</v>
      </c>
      <c r="CE40" s="2">
        <v>1.6553044292292889</v>
      </c>
      <c r="CF40" s="2">
        <v>0.11478843864212332</v>
      </c>
      <c r="CH40" s="2">
        <f t="shared" si="3"/>
        <v>1.893185804738843</v>
      </c>
    </row>
    <row r="41" spans="2:86">
      <c r="B41" s="9" t="s">
        <v>465</v>
      </c>
      <c r="C41" s="66">
        <v>393.26068296096685</v>
      </c>
      <c r="D41" s="66">
        <v>30.879124383806705</v>
      </c>
      <c r="E41" s="66">
        <v>18.878253354082684</v>
      </c>
      <c r="F41" s="66">
        <v>137.17662236300367</v>
      </c>
      <c r="G41" s="66">
        <v>7.2180809893473636</v>
      </c>
      <c r="H41" s="9" t="s">
        <v>474</v>
      </c>
      <c r="J41" s="6"/>
      <c r="K41" s="6"/>
      <c r="L41" s="6"/>
      <c r="M41" s="6"/>
      <c r="N41" s="6"/>
      <c r="O41" s="6"/>
      <c r="P41" s="6"/>
      <c r="Q41" s="6"/>
      <c r="BJ41" s="9" t="s">
        <v>465</v>
      </c>
      <c r="BK41" s="66">
        <v>449.74930889954754</v>
      </c>
      <c r="BL41" s="66">
        <v>58.918789054159923</v>
      </c>
      <c r="BM41" s="66">
        <v>18.878253354082688</v>
      </c>
      <c r="BN41" s="66">
        <v>155.05094334203764</v>
      </c>
      <c r="BO41" s="66">
        <v>7.2180809893473636</v>
      </c>
      <c r="BP41" s="9" t="s">
        <v>473</v>
      </c>
      <c r="BX41" s="9" t="s">
        <v>457</v>
      </c>
      <c r="BY41" s="2">
        <v>6.4729836759004096</v>
      </c>
      <c r="BZ41" s="2">
        <v>0.10437958023347338</v>
      </c>
      <c r="CA41" s="2">
        <v>0.83148534375800121</v>
      </c>
      <c r="CB41" s="2">
        <v>0.27464582454718373</v>
      </c>
      <c r="CC41" s="2">
        <v>0.37102515923566881</v>
      </c>
      <c r="CD41" s="2">
        <v>0.25950366850318474</v>
      </c>
      <c r="CE41" s="2">
        <v>1.7678858098025372</v>
      </c>
      <c r="CF41" s="2">
        <v>0.11785623530227593</v>
      </c>
      <c r="CH41" s="2">
        <f t="shared" si="3"/>
        <v>2.027389478305722</v>
      </c>
    </row>
    <row r="42" spans="2:86">
      <c r="B42" s="9" t="s">
        <v>466</v>
      </c>
      <c r="C42" s="66">
        <v>410.39583840118632</v>
      </c>
      <c r="D42" s="66">
        <v>32.188638520112434</v>
      </c>
      <c r="E42" s="66">
        <v>19.640679598026441</v>
      </c>
      <c r="F42" s="66">
        <v>143.37229967192093</v>
      </c>
      <c r="G42" s="66">
        <v>7.3914573553600347</v>
      </c>
      <c r="H42" s="9" t="s">
        <v>474</v>
      </c>
      <c r="J42" s="6"/>
      <c r="K42" s="6"/>
      <c r="L42" s="6"/>
      <c r="M42" s="6"/>
      <c r="N42" s="6"/>
      <c r="O42" s="6"/>
      <c r="P42" s="6"/>
      <c r="Q42" s="6"/>
      <c r="BJ42" s="9" t="s">
        <v>466</v>
      </c>
      <c r="BK42" s="66">
        <v>469.11150561013574</v>
      </c>
      <c r="BL42" s="66">
        <v>61.417402233777771</v>
      </c>
      <c r="BM42" s="66">
        <v>19.640679598026438</v>
      </c>
      <c r="BN42" s="66">
        <v>161.76112702038162</v>
      </c>
      <c r="BO42" s="66">
        <v>7.3914573553600347</v>
      </c>
      <c r="BP42" s="9" t="s">
        <v>473</v>
      </c>
      <c r="BX42" s="9" t="s">
        <v>458</v>
      </c>
      <c r="BY42" s="2">
        <v>6.7231880403036381</v>
      </c>
      <c r="BZ42" s="2">
        <v>0.10452032131126054</v>
      </c>
      <c r="CA42" s="2">
        <v>0.86887367353670164</v>
      </c>
      <c r="CB42" s="2">
        <v>0.28535713914559507</v>
      </c>
      <c r="CC42" s="2">
        <v>0.37102515923566881</v>
      </c>
      <c r="CD42" s="2">
        <v>0.28112596149681529</v>
      </c>
      <c r="CE42" s="2">
        <v>1.8804671903757857</v>
      </c>
      <c r="CF42" s="2">
        <v>0.12102994990805463</v>
      </c>
      <c r="CH42" s="2">
        <f t="shared" si="3"/>
        <v>2.161593151872601</v>
      </c>
    </row>
    <row r="43" spans="2:86">
      <c r="B43" s="9" t="s">
        <v>467</v>
      </c>
      <c r="C43" s="66">
        <v>428.18133388113642</v>
      </c>
      <c r="D43" s="66">
        <v>33.535872376418169</v>
      </c>
      <c r="E43" s="66">
        <v>20.429055388784597</v>
      </c>
      <c r="F43" s="66">
        <v>149.5679769808381</v>
      </c>
      <c r="G43" s="66">
        <v>7.5665141166635603</v>
      </c>
      <c r="H43" s="9" t="s">
        <v>474</v>
      </c>
      <c r="J43" s="6"/>
      <c r="K43" s="6"/>
      <c r="L43" s="6"/>
      <c r="M43" s="6"/>
      <c r="N43" s="6"/>
      <c r="O43" s="6"/>
      <c r="P43" s="6"/>
      <c r="Q43" s="6"/>
      <c r="AG43" s="2" t="s">
        <v>491</v>
      </c>
      <c r="BJ43" s="9" t="s">
        <v>467</v>
      </c>
      <c r="BK43" s="66">
        <v>489.25746910964347</v>
      </c>
      <c r="BL43" s="66">
        <v>63.9879863733956</v>
      </c>
      <c r="BM43" s="66">
        <v>20.429055388784597</v>
      </c>
      <c r="BN43" s="66">
        <v>168.47131069872555</v>
      </c>
      <c r="BO43" s="66">
        <v>7.5665141166635603</v>
      </c>
      <c r="BP43" s="9" t="s">
        <v>473</v>
      </c>
      <c r="BX43" s="9" t="s">
        <v>459</v>
      </c>
      <c r="BY43" s="2">
        <v>7.000704624066648</v>
      </c>
      <c r="BZ43" s="2">
        <v>0.10469389430143577</v>
      </c>
      <c r="CA43" s="2">
        <v>0.90877000272905839</v>
      </c>
      <c r="CB43" s="2">
        <v>0.29697272747045345</v>
      </c>
      <c r="CC43" s="2">
        <v>0.37102515923566881</v>
      </c>
      <c r="CD43" s="2">
        <v>0.3027482544904459</v>
      </c>
      <c r="CE43" s="2">
        <v>1.993048570949034</v>
      </c>
      <c r="CF43" s="2">
        <v>0.12426222188758777</v>
      </c>
      <c r="CH43" s="2">
        <f t="shared" si="3"/>
        <v>2.29579682543948</v>
      </c>
    </row>
    <row r="44" spans="2:86">
      <c r="B44" s="9" t="s">
        <v>468</v>
      </c>
      <c r="C44" s="66">
        <v>446.61716940081715</v>
      </c>
      <c r="D44" s="66">
        <v>34.920825952723902</v>
      </c>
      <c r="E44" s="66">
        <v>21.243380726357152</v>
      </c>
      <c r="F44" s="66">
        <v>155.76365428975529</v>
      </c>
      <c r="G44" s="66">
        <v>7.7432512732579468</v>
      </c>
      <c r="H44" s="9" t="s">
        <v>474</v>
      </c>
      <c r="J44" s="6"/>
      <c r="K44" s="6"/>
      <c r="L44" s="6"/>
      <c r="M44" s="6"/>
      <c r="N44" s="6"/>
      <c r="O44" s="6"/>
      <c r="P44" s="6"/>
      <c r="Q44" s="6"/>
      <c r="BJ44" s="9" t="s">
        <v>468</v>
      </c>
      <c r="BK44" s="66">
        <v>510.18719939807073</v>
      </c>
      <c r="BL44" s="66">
        <v>66.630541473013437</v>
      </c>
      <c r="BM44" s="66">
        <v>21.243380726357152</v>
      </c>
      <c r="BN44" s="66">
        <v>175.18149437706953</v>
      </c>
      <c r="BO44" s="66">
        <v>7.7432512732579468</v>
      </c>
      <c r="BP44" s="9" t="s">
        <v>473</v>
      </c>
      <c r="BX44" s="9" t="s">
        <v>460</v>
      </c>
      <c r="BY44" s="2">
        <v>7.2938965436080467</v>
      </c>
      <c r="BZ44" s="2">
        <v>0.10488642419121132</v>
      </c>
      <c r="CA44" s="2">
        <v>0.95010575112141515</v>
      </c>
      <c r="CB44" s="2">
        <v>0.30910730673159997</v>
      </c>
      <c r="CC44" s="2">
        <v>0.37102515923566881</v>
      </c>
      <c r="CD44" s="2">
        <v>0.32437054748407645</v>
      </c>
      <c r="CE44" s="2">
        <v>2.1056299515222823</v>
      </c>
      <c r="CF44" s="2">
        <v>0.12752810177293811</v>
      </c>
      <c r="CH44" s="2">
        <f t="shared" si="3"/>
        <v>2.4300004990063586</v>
      </c>
    </row>
    <row r="45" spans="2:86">
      <c r="B45" s="9" t="s">
        <v>469</v>
      </c>
      <c r="C45" s="66">
        <v>465.70334496022861</v>
      </c>
      <c r="D45" s="66">
        <v>36.343499249029634</v>
      </c>
      <c r="E45" s="66">
        <v>22.083655610744124</v>
      </c>
      <c r="F45" s="66">
        <v>161.95933159867252</v>
      </c>
      <c r="G45" s="66">
        <v>7.9216688251431915</v>
      </c>
      <c r="H45" s="9" t="s">
        <v>474</v>
      </c>
      <c r="J45" s="6"/>
      <c r="K45" s="6"/>
      <c r="L45" s="6"/>
      <c r="M45" s="6"/>
      <c r="N45" s="6"/>
      <c r="O45" s="6"/>
      <c r="P45" s="6"/>
      <c r="Q45" s="6"/>
      <c r="BJ45" s="9" t="s">
        <v>469</v>
      </c>
      <c r="BK45" s="66">
        <v>531.90069647541782</v>
      </c>
      <c r="BL45" s="66">
        <v>69.345067532631262</v>
      </c>
      <c r="BM45" s="66">
        <v>22.08365561074412</v>
      </c>
      <c r="BN45" s="66">
        <v>181.89167805541345</v>
      </c>
      <c r="BO45" s="66">
        <v>7.9216688251431915</v>
      </c>
      <c r="BP45" s="9" t="s">
        <v>473</v>
      </c>
      <c r="BX45" s="9" t="s">
        <v>461</v>
      </c>
      <c r="BY45" s="2">
        <v>7.6027637989278434</v>
      </c>
      <c r="BZ45" s="2">
        <v>0.10509771084035029</v>
      </c>
      <c r="CA45" s="2">
        <v>0.99288091871377193</v>
      </c>
      <c r="CB45" s="2">
        <v>0.32176087692903449</v>
      </c>
      <c r="CC45" s="2">
        <v>0.37102515923566881</v>
      </c>
      <c r="CD45" s="2">
        <v>0.34599284047770701</v>
      </c>
      <c r="CE45" s="2">
        <v>2.2182113320955308</v>
      </c>
      <c r="CF45" s="2">
        <v>0.13082758956410562</v>
      </c>
      <c r="CH45" s="2">
        <f t="shared" si="3"/>
        <v>2.5642041725732376</v>
      </c>
    </row>
    <row r="46" spans="2:86">
      <c r="B46" s="9" t="s">
        <v>470</v>
      </c>
      <c r="C46" s="66">
        <v>485.4398605593708</v>
      </c>
      <c r="D46" s="66">
        <v>37.803892265335371</v>
      </c>
      <c r="E46" s="66">
        <v>22.949880041945491</v>
      </c>
      <c r="F46" s="66">
        <v>168.15500890758966</v>
      </c>
      <c r="G46" s="66">
        <v>8.1017667723192943</v>
      </c>
      <c r="H46" s="9" t="s">
        <v>474</v>
      </c>
      <c r="J46" s="6"/>
      <c r="K46" s="6"/>
      <c r="L46" s="6"/>
      <c r="M46" s="6"/>
      <c r="N46" s="6"/>
      <c r="O46" s="6"/>
      <c r="P46" s="6"/>
      <c r="Q46" s="6"/>
      <c r="BJ46" s="9" t="s">
        <v>470</v>
      </c>
      <c r="BK46" s="66">
        <v>554.39796034168455</v>
      </c>
      <c r="BL46" s="66">
        <v>72.131564552249117</v>
      </c>
      <c r="BM46" s="66">
        <v>22.949880041945491</v>
      </c>
      <c r="BN46" s="66">
        <v>188.6018617337574</v>
      </c>
      <c r="BO46" s="66">
        <v>8.1017667723192943</v>
      </c>
      <c r="BP46" s="9" t="s">
        <v>473</v>
      </c>
      <c r="BX46" s="9" t="s">
        <v>462</v>
      </c>
      <c r="BY46" s="2">
        <v>7.9273063900260299</v>
      </c>
      <c r="BZ46" s="2">
        <v>0.10532762360929496</v>
      </c>
      <c r="CA46" s="2">
        <v>1.0370955055061286</v>
      </c>
      <c r="CB46" s="2">
        <v>0.33493343806275727</v>
      </c>
      <c r="CC46" s="2">
        <v>0.37102515923566881</v>
      </c>
      <c r="CD46" s="2">
        <v>0.36761513347133756</v>
      </c>
      <c r="CE46" s="2">
        <v>2.3307927126687797</v>
      </c>
      <c r="CF46" s="2">
        <v>0.13416068526109023</v>
      </c>
      <c r="CH46" s="2">
        <f t="shared" si="3"/>
        <v>2.6984078461401175</v>
      </c>
    </row>
    <row r="47" spans="2:86">
      <c r="J47" s="6"/>
      <c r="K47" s="6"/>
      <c r="L47" s="6"/>
      <c r="M47" s="6"/>
      <c r="N47" s="6"/>
      <c r="O47" s="6"/>
      <c r="P47" s="6"/>
      <c r="Q47" s="6"/>
      <c r="BX47" s="9" t="s">
        <v>463</v>
      </c>
      <c r="BY47" s="2">
        <v>8.2675243169026107</v>
      </c>
      <c r="BZ47" s="2">
        <v>0.10557607360053289</v>
      </c>
      <c r="CA47" s="2">
        <v>1.0827495114984853</v>
      </c>
      <c r="CB47" s="2">
        <v>0.34862499013276799</v>
      </c>
      <c r="CC47" s="2">
        <v>0.37102515923566881</v>
      </c>
      <c r="CD47" s="2">
        <v>0.38923742646496817</v>
      </c>
      <c r="CE47" s="2">
        <v>2.4433740932420269</v>
      </c>
      <c r="CF47" s="2">
        <v>0.13752738886389212</v>
      </c>
      <c r="CH47" s="2">
        <f t="shared" si="3"/>
        <v>2.8326115197069952</v>
      </c>
    </row>
    <row r="48" spans="2:86">
      <c r="J48" s="6"/>
      <c r="K48" s="6"/>
      <c r="L48" s="6"/>
      <c r="M48" s="6"/>
      <c r="N48" s="6"/>
      <c r="O48" s="6"/>
      <c r="P48" s="6"/>
      <c r="Q48" s="6"/>
      <c r="BX48" s="9" t="s">
        <v>464</v>
      </c>
      <c r="BY48" s="2">
        <v>8.623417579557584</v>
      </c>
      <c r="BZ48" s="2">
        <v>0.10584299822002288</v>
      </c>
      <c r="CA48" s="2">
        <v>1.129842936690842</v>
      </c>
      <c r="CB48" s="2">
        <v>0.3628355331390668</v>
      </c>
      <c r="CC48" s="2">
        <v>0.37102515923566881</v>
      </c>
      <c r="CD48" s="2">
        <v>0.41085971945859873</v>
      </c>
      <c r="CE48" s="2">
        <v>2.5559554738152754</v>
      </c>
      <c r="CF48" s="2">
        <v>0.14092770037251115</v>
      </c>
      <c r="CH48" s="2">
        <f t="shared" si="3"/>
        <v>2.9668151932738742</v>
      </c>
    </row>
    <row r="49" spans="2:86">
      <c r="J49" s="6"/>
      <c r="K49" s="6"/>
      <c r="L49" s="6"/>
      <c r="M49" s="6"/>
      <c r="N49" s="6"/>
      <c r="O49" s="6"/>
      <c r="P49" s="6"/>
      <c r="Q49" s="6"/>
      <c r="AN49" s="67" t="s">
        <v>492</v>
      </c>
      <c r="BX49" s="9" t="s">
        <v>465</v>
      </c>
      <c r="BY49" s="2">
        <v>8.9949861779909508</v>
      </c>
      <c r="BZ49" s="2">
        <v>0.10612835211874572</v>
      </c>
      <c r="CA49" s="2">
        <v>1.1783757810831985</v>
      </c>
      <c r="CB49" s="2">
        <v>0.37756506708165377</v>
      </c>
      <c r="CC49" s="2">
        <v>0.37102515923566881</v>
      </c>
      <c r="CD49" s="2">
        <v>0.43248201245222917</v>
      </c>
      <c r="CE49" s="2">
        <v>2.6685368543885235</v>
      </c>
      <c r="CF49" s="2">
        <v>0.14436161978694728</v>
      </c>
      <c r="CH49" s="2">
        <f t="shared" si="3"/>
        <v>3.1010188668407528</v>
      </c>
    </row>
    <row r="50" spans="2:86">
      <c r="J50" s="6"/>
      <c r="K50" s="6"/>
      <c r="L50" s="6"/>
      <c r="M50" s="6"/>
      <c r="N50" s="6"/>
      <c r="O50" s="6"/>
      <c r="P50" s="6"/>
      <c r="Q50" s="6"/>
      <c r="AN50" s="68" t="s">
        <v>493</v>
      </c>
      <c r="BX50" s="9" t="s">
        <v>466</v>
      </c>
      <c r="BY50" s="2">
        <v>9.3822301122027145</v>
      </c>
      <c r="BZ50" s="2">
        <v>0.10643210163651524</v>
      </c>
      <c r="CA50" s="2">
        <v>1.2283480446755555</v>
      </c>
      <c r="CB50" s="2">
        <v>0.39281359196052873</v>
      </c>
      <c r="CC50" s="2">
        <v>0.37102515923566881</v>
      </c>
      <c r="CD50" s="2">
        <v>0.45410430544585989</v>
      </c>
      <c r="CE50" s="2">
        <v>2.7811182349617725</v>
      </c>
      <c r="CF50" s="2">
        <v>0.14782914710720069</v>
      </c>
      <c r="CH50" s="2">
        <f t="shared" si="3"/>
        <v>3.2352225404076322</v>
      </c>
    </row>
    <row r="51" spans="2:86">
      <c r="AN51" s="69" t="s">
        <v>494</v>
      </c>
      <c r="BX51" s="9" t="s">
        <v>467</v>
      </c>
      <c r="BY51" s="2">
        <v>9.7851493821928699</v>
      </c>
      <c r="BZ51" s="2">
        <v>0.10675422126392814</v>
      </c>
      <c r="CA51" s="2">
        <v>1.279759727467912</v>
      </c>
      <c r="CB51" s="2">
        <v>0.40858110777569195</v>
      </c>
      <c r="CC51" s="2">
        <v>0.37102515923566881</v>
      </c>
      <c r="CD51" s="2">
        <v>0.47572659843949039</v>
      </c>
      <c r="CE51" s="2">
        <v>2.8936996155350205</v>
      </c>
      <c r="CF51" s="2">
        <v>0.1513302823332712</v>
      </c>
      <c r="CH51" s="2">
        <f t="shared" si="3"/>
        <v>3.3694262139745108</v>
      </c>
    </row>
    <row r="52" spans="2:86" ht="15">
      <c r="B52" s="417" t="s">
        <v>495</v>
      </c>
      <c r="C52" s="417"/>
      <c r="D52" s="417"/>
      <c r="E52" s="417"/>
      <c r="F52" s="417"/>
      <c r="G52" s="417"/>
      <c r="AN52" s="70" t="s">
        <v>496</v>
      </c>
      <c r="BX52" s="9" t="s">
        <v>468</v>
      </c>
      <c r="BY52" s="2">
        <v>10.203743987961415</v>
      </c>
      <c r="BZ52" s="2">
        <v>0.10709469131606132</v>
      </c>
      <c r="CA52" s="2">
        <v>1.3326108294602688</v>
      </c>
      <c r="CB52" s="2">
        <v>0.42486761452714306</v>
      </c>
      <c r="CC52" s="2">
        <v>0.37102515923566881</v>
      </c>
      <c r="CD52" s="2">
        <v>0.49734889143312094</v>
      </c>
      <c r="CE52" s="2">
        <v>3.0062809961082695</v>
      </c>
      <c r="CF52" s="2">
        <v>0.15486502546515893</v>
      </c>
      <c r="CH52" s="2">
        <f t="shared" si="3"/>
        <v>3.5036298875413903</v>
      </c>
    </row>
    <row r="53" spans="2:86">
      <c r="B53" s="101" t="s">
        <v>497</v>
      </c>
      <c r="C53" s="101" t="s">
        <v>176</v>
      </c>
      <c r="D53" s="101" t="s">
        <v>177</v>
      </c>
      <c r="E53" s="101" t="s">
        <v>178</v>
      </c>
      <c r="F53" s="101" t="s">
        <v>179</v>
      </c>
      <c r="G53" s="101" t="s">
        <v>180</v>
      </c>
      <c r="H53" s="101" t="s">
        <v>172</v>
      </c>
      <c r="AN53" s="71">
        <v>5</v>
      </c>
      <c r="BX53" s="9" t="s">
        <v>469</v>
      </c>
      <c r="BY53" s="2">
        <v>10.638013929508356</v>
      </c>
      <c r="BZ53" s="2">
        <v>0.10745349635988202</v>
      </c>
      <c r="CA53" s="2">
        <v>1.3869013506526253</v>
      </c>
      <c r="CB53" s="2">
        <v>0.44167311221488242</v>
      </c>
      <c r="CC53" s="2">
        <v>0.37102515923566881</v>
      </c>
      <c r="CD53" s="2">
        <v>0.51897118442675161</v>
      </c>
      <c r="CE53" s="2">
        <v>3.1188623766815176</v>
      </c>
      <c r="CF53" s="2">
        <v>0.15843337650286382</v>
      </c>
      <c r="CH53" s="2">
        <f t="shared" si="3"/>
        <v>3.6378335611082693</v>
      </c>
    </row>
    <row r="54" spans="2:86">
      <c r="B54" s="9" t="s">
        <v>498</v>
      </c>
      <c r="C54" s="9">
        <v>4.32</v>
      </c>
      <c r="D54" s="79">
        <v>0.25055999999999995</v>
      </c>
      <c r="E54" s="9">
        <v>0</v>
      </c>
      <c r="F54" s="9">
        <v>0</v>
      </c>
      <c r="G54" s="9">
        <v>0</v>
      </c>
      <c r="H54" s="9" t="s">
        <v>499</v>
      </c>
      <c r="AN54" s="72">
        <v>6</v>
      </c>
      <c r="BX54" s="9" t="s">
        <v>470</v>
      </c>
      <c r="BY54" s="2">
        <v>11.087959206833691</v>
      </c>
      <c r="BZ54" s="2">
        <v>0.1078306241250666</v>
      </c>
      <c r="CA54" s="2">
        <v>1.4426312910449823</v>
      </c>
      <c r="CB54" s="2">
        <v>0.45899760083890984</v>
      </c>
      <c r="CC54" s="2">
        <v>0.37102515923566881</v>
      </c>
      <c r="CD54" s="2">
        <v>0.54059347742038211</v>
      </c>
      <c r="CE54" s="2">
        <v>3.2314437572547656</v>
      </c>
      <c r="CF54" s="2">
        <v>0.16203533544638588</v>
      </c>
      <c r="CH54" s="2">
        <f t="shared" si="3"/>
        <v>3.7720372346751478</v>
      </c>
    </row>
    <row r="55" spans="2:86">
      <c r="B55" s="9" t="s">
        <v>500</v>
      </c>
      <c r="C55" s="9">
        <v>9.4320000000000001E-2</v>
      </c>
      <c r="D55" s="131">
        <v>4.1029199999999995E-3</v>
      </c>
      <c r="E55" s="9">
        <v>0</v>
      </c>
      <c r="F55" s="9">
        <v>0</v>
      </c>
      <c r="G55" s="9">
        <v>0</v>
      </c>
      <c r="H55" s="9" t="s">
        <v>499</v>
      </c>
      <c r="AN55" s="73">
        <v>7</v>
      </c>
    </row>
    <row r="56" spans="2:86">
      <c r="B56" s="9" t="s">
        <v>501</v>
      </c>
      <c r="C56" s="9">
        <v>66.8</v>
      </c>
      <c r="D56" s="9">
        <v>2.871</v>
      </c>
      <c r="E56" s="9">
        <v>0</v>
      </c>
      <c r="F56" s="9">
        <v>0</v>
      </c>
      <c r="G56" s="9">
        <v>0</v>
      </c>
      <c r="H56" s="9" t="s">
        <v>502</v>
      </c>
      <c r="BX56" s="137" t="s">
        <v>503</v>
      </c>
      <c r="BY56" s="137" t="s">
        <v>472</v>
      </c>
      <c r="BZ56" s="137" t="s">
        <v>476</v>
      </c>
      <c r="CA56" s="137" t="s">
        <v>477</v>
      </c>
      <c r="CB56" s="137" t="s">
        <v>478</v>
      </c>
      <c r="CC56" s="137" t="s">
        <v>504</v>
      </c>
      <c r="CD56" s="137" t="s">
        <v>484</v>
      </c>
      <c r="CF56" s="9">
        <v>50</v>
      </c>
      <c r="CG56" s="137" t="s">
        <v>207</v>
      </c>
    </row>
    <row r="57" spans="2:86">
      <c r="BX57" s="9" t="s">
        <v>446</v>
      </c>
      <c r="BY57" s="66">
        <f t="shared" ref="BY57:BY64" si="4">BY30*$CF$56</f>
        <v>261.33737162577802</v>
      </c>
      <c r="BZ57" s="66">
        <f t="shared" ref="BZ57:CB65" si="5">CA30*$CF$56</f>
        <v>20.970857763157898</v>
      </c>
      <c r="CA57" s="66">
        <f t="shared" si="5"/>
        <v>10.056182418812988</v>
      </c>
      <c r="CB57" s="66">
        <f t="shared" si="5"/>
        <v>18.551260526315787</v>
      </c>
      <c r="CC57" s="66">
        <f t="shared" ref="CC57:CC65" si="6">(CD30+CE30)*$CF$56</f>
        <v>67.418219511823665</v>
      </c>
      <c r="CD57" s="66">
        <f t="shared" ref="CD57:CD65" si="7">CF30*$CF$56</f>
        <v>10.799485339355408</v>
      </c>
    </row>
    <row r="58" spans="2:86">
      <c r="BX58" s="9" t="s">
        <v>447</v>
      </c>
      <c r="BY58" s="66">
        <f t="shared" si="4"/>
        <v>322.7027569407083</v>
      </c>
      <c r="BZ58" s="66">
        <f t="shared" si="5"/>
        <v>32.595717794117633</v>
      </c>
      <c r="CA58" s="66">
        <f t="shared" si="5"/>
        <v>15.288913854739839</v>
      </c>
      <c r="CB58" s="66">
        <f t="shared" si="5"/>
        <v>18.551257606490871</v>
      </c>
      <c r="CC58" s="66">
        <f t="shared" si="6"/>
        <v>41.845509127174267</v>
      </c>
      <c r="CD58" s="66">
        <f t="shared" si="7"/>
        <v>16.18387003686977</v>
      </c>
    </row>
    <row r="59" spans="2:86">
      <c r="AX59" s="424" t="s">
        <v>471</v>
      </c>
      <c r="AY59" s="424"/>
      <c r="AZ59" s="424"/>
      <c r="BA59" s="424"/>
      <c r="BB59" s="424"/>
      <c r="BC59" s="65" t="s">
        <v>176</v>
      </c>
      <c r="BD59" s="65" t="s">
        <v>177</v>
      </c>
      <c r="BE59" s="65" t="s">
        <v>178</v>
      </c>
      <c r="BF59" s="65" t="s">
        <v>179</v>
      </c>
      <c r="BG59" s="65" t="s">
        <v>180</v>
      </c>
      <c r="BH59" s="65" t="s">
        <v>172</v>
      </c>
      <c r="BX59" s="9" t="s">
        <v>448</v>
      </c>
      <c r="BY59" s="66">
        <f t="shared" si="4"/>
        <v>262.67181758767026</v>
      </c>
      <c r="BZ59" s="66">
        <f t="shared" si="5"/>
        <v>21.845613308997638</v>
      </c>
      <c r="CA59" s="66">
        <f t="shared" si="5"/>
        <v>10.542766377269141</v>
      </c>
      <c r="CB59" s="66">
        <f t="shared" si="5"/>
        <v>18.551259707629054</v>
      </c>
      <c r="CC59" s="66">
        <f t="shared" si="6"/>
        <v>43.204220070465297</v>
      </c>
      <c r="CD59" s="66">
        <f t="shared" si="7"/>
        <v>11.448374112075768</v>
      </c>
    </row>
    <row r="60" spans="2:86">
      <c r="AX60" s="9" t="s">
        <v>505</v>
      </c>
      <c r="AY60" s="9" t="s">
        <v>506</v>
      </c>
      <c r="AZ60" s="9" t="s">
        <v>507</v>
      </c>
      <c r="BA60" s="9" t="s">
        <v>508</v>
      </c>
      <c r="BB60" s="9" t="s">
        <v>509</v>
      </c>
      <c r="BX60" s="9" t="s">
        <v>449</v>
      </c>
      <c r="BY60" s="66">
        <f t="shared" si="4"/>
        <v>225.75798562041257</v>
      </c>
      <c r="BZ60" s="66">
        <f t="shared" si="5"/>
        <v>21.617421012473457</v>
      </c>
      <c r="CA60" s="66">
        <f t="shared" si="5"/>
        <v>9.9777050269205034</v>
      </c>
      <c r="CB60" s="66">
        <f t="shared" si="5"/>
        <v>18.551259707629054</v>
      </c>
      <c r="CC60" s="66">
        <f t="shared" si="6"/>
        <v>48.1492264066082</v>
      </c>
      <c r="CD60" s="66">
        <f t="shared" si="7"/>
        <v>9.5482817179172734</v>
      </c>
    </row>
    <row r="61" spans="2:86">
      <c r="D61" s="74"/>
      <c r="AW61" s="9" t="s">
        <v>510</v>
      </c>
      <c r="AX61" s="75">
        <f>'Alternativ 1'!K19</f>
        <v>0</v>
      </c>
      <c r="AY61" s="76"/>
      <c r="AZ61" s="76"/>
      <c r="BA61" s="76"/>
      <c r="BB61" s="76"/>
      <c r="BC61" s="66"/>
      <c r="BD61" s="66"/>
      <c r="BE61" s="66"/>
      <c r="BF61" s="66"/>
      <c r="BG61" s="66"/>
      <c r="BH61" s="9" t="s">
        <v>474</v>
      </c>
      <c r="BX61" s="9" t="s">
        <v>267</v>
      </c>
      <c r="BY61" s="66">
        <f t="shared" si="4"/>
        <v>285.32315876185038</v>
      </c>
      <c r="BZ61" s="66">
        <f t="shared" si="5"/>
        <v>25.083773220703137</v>
      </c>
      <c r="CA61" s="66">
        <f t="shared" si="5"/>
        <v>12.624557043692629</v>
      </c>
      <c r="CB61" s="66">
        <f t="shared" si="5"/>
        <v>18.551257812500001</v>
      </c>
      <c r="CC61" s="66">
        <f t="shared" si="6"/>
        <v>52.68292368910528</v>
      </c>
      <c r="CD61" s="66">
        <f t="shared" si="7"/>
        <v>15.025922923538479</v>
      </c>
    </row>
    <row r="62" spans="2:86">
      <c r="AW62" s="9" t="s">
        <v>511</v>
      </c>
      <c r="AX62" s="66">
        <f>'Alternativ 1'!K20</f>
        <v>0</v>
      </c>
      <c r="AY62" s="77"/>
      <c r="AZ62" s="77"/>
      <c r="BA62" s="77"/>
      <c r="BB62" s="77"/>
      <c r="BX62" s="9" t="s">
        <v>412</v>
      </c>
      <c r="BY62" s="66">
        <f t="shared" si="4"/>
        <v>144.07564167837705</v>
      </c>
      <c r="BZ62" s="66">
        <f t="shared" si="5"/>
        <v>15.799297931962222</v>
      </c>
      <c r="CA62" s="66">
        <f t="shared" si="5"/>
        <v>13.94033605388317</v>
      </c>
      <c r="CB62" s="66">
        <f t="shared" si="5"/>
        <v>18.551256544502618</v>
      </c>
      <c r="CC62" s="66">
        <f t="shared" si="6"/>
        <v>34.390432069185728</v>
      </c>
      <c r="CD62" s="66">
        <f t="shared" si="7"/>
        <v>16.498318852502099</v>
      </c>
    </row>
    <row r="63" spans="2:86">
      <c r="AW63" s="9" t="s">
        <v>512</v>
      </c>
      <c r="AX63" s="66">
        <f>'Alternativ 1'!K21</f>
        <v>0</v>
      </c>
      <c r="AY63" s="77"/>
      <c r="AZ63" s="77"/>
      <c r="BA63" s="77"/>
      <c r="BB63" s="77"/>
      <c r="BX63" s="9" t="s">
        <v>425</v>
      </c>
      <c r="BY63" s="66">
        <f t="shared" si="4"/>
        <v>230.54898908923764</v>
      </c>
      <c r="BZ63" s="66">
        <f t="shared" si="5"/>
        <v>14.357046820811114</v>
      </c>
      <c r="CA63" s="66">
        <f t="shared" si="5"/>
        <v>9.4013185843629312</v>
      </c>
      <c r="CB63" s="66">
        <f t="shared" si="5"/>
        <v>18.551259707629054</v>
      </c>
      <c r="CC63" s="66">
        <f t="shared" si="6"/>
        <v>38.601230852935196</v>
      </c>
      <c r="CD63" s="66">
        <f t="shared" si="7"/>
        <v>13.194482325543705</v>
      </c>
    </row>
    <row r="64" spans="2:86" ht="25.5">
      <c r="B64" s="22" t="s">
        <v>513</v>
      </c>
      <c r="AW64" s="9" t="s">
        <v>514</v>
      </c>
      <c r="AX64" s="66">
        <f>'Alternativ 1'!K22</f>
        <v>0</v>
      </c>
      <c r="AY64" s="77"/>
      <c r="AZ64" s="77"/>
      <c r="BA64" s="77"/>
      <c r="BB64" s="77"/>
      <c r="BX64" s="9" t="s">
        <v>427</v>
      </c>
      <c r="BY64" s="66">
        <f t="shared" si="4"/>
        <v>185.73249154778253</v>
      </c>
      <c r="BZ64" s="66">
        <f t="shared" si="5"/>
        <v>12.226331350786717</v>
      </c>
      <c r="CA64" s="66">
        <f t="shared" si="5"/>
        <v>7.0415635869287954</v>
      </c>
      <c r="CB64" s="66">
        <f t="shared" si="5"/>
        <v>18.551259707629054</v>
      </c>
      <c r="CC64" s="66">
        <f t="shared" si="6"/>
        <v>4.3202557380164883</v>
      </c>
      <c r="CD64" s="66">
        <f t="shared" si="7"/>
        <v>10.281675935790362</v>
      </c>
    </row>
    <row r="65" spans="1:82" hidden="1">
      <c r="AI65" s="2">
        <f>AI67-AI97</f>
        <v>8.1000000000000003E-2</v>
      </c>
      <c r="AJ65" s="2">
        <f>AI65/30</f>
        <v>2.7000000000000001E-3</v>
      </c>
      <c r="BX65" s="9" t="s">
        <v>454</v>
      </c>
      <c r="BY65" s="66">
        <f>BY38*$CF$56</f>
        <v>293.5288362733346</v>
      </c>
      <c r="BZ65" s="66">
        <f t="shared" si="5"/>
        <v>36.646484061611069</v>
      </c>
      <c r="CA65" s="66">
        <f t="shared" si="5"/>
        <v>12.370940121057368</v>
      </c>
      <c r="CB65" s="66">
        <f t="shared" si="5"/>
        <v>18.551257961783442</v>
      </c>
      <c r="CC65" s="66">
        <f t="shared" si="6"/>
        <v>81.238922880254222</v>
      </c>
      <c r="CD65" s="66">
        <f t="shared" si="7"/>
        <v>5.4326422660909071</v>
      </c>
    </row>
    <row r="66" spans="1:82" ht="17.25" hidden="1" customHeight="1">
      <c r="A66" s="412" t="s">
        <v>144</v>
      </c>
      <c r="B66" s="101"/>
      <c r="C66" s="101" t="s">
        <v>515</v>
      </c>
      <c r="D66" s="101" t="s">
        <v>516</v>
      </c>
      <c r="E66" s="101" t="s">
        <v>517</v>
      </c>
      <c r="F66" s="101"/>
      <c r="G66" s="101"/>
      <c r="BX66" s="9" t="s">
        <v>455</v>
      </c>
      <c r="BY66" s="66">
        <f t="shared" ref="BY66:BY81" si="8">BY39*$CF$56</f>
        <v>303.56895211389656</v>
      </c>
      <c r="BZ66" s="66">
        <f t="shared" ref="BZ66:CB66" si="9">CA39*$CF$56</f>
        <v>38.289078437040736</v>
      </c>
      <c r="CA66" s="66">
        <f t="shared" si="9"/>
        <v>12.824723823157974</v>
      </c>
      <c r="CB66" s="66">
        <f t="shared" si="9"/>
        <v>18.551257961783442</v>
      </c>
      <c r="CC66" s="66">
        <f t="shared" ref="CC66:CC81" si="10">(CD39+CE39)*$CF$56</f>
        <v>87.949106558598174</v>
      </c>
      <c r="CD66" s="66">
        <f t="shared" ref="CD66:CD81" si="11">CF39*$CF$56</f>
        <v>5.5860320990985359</v>
      </c>
    </row>
    <row r="67" spans="1:82" hidden="1">
      <c r="A67" s="413"/>
      <c r="B67" s="9" t="s">
        <v>518</v>
      </c>
      <c r="C67" s="9">
        <v>121</v>
      </c>
      <c r="D67" s="78">
        <f>C67/C70</f>
        <v>7.4876237623762373E-2</v>
      </c>
      <c r="E67" s="9">
        <v>3</v>
      </c>
      <c r="F67" s="66">
        <f>C67/E67</f>
        <v>40.333333333333336</v>
      </c>
      <c r="G67" s="9" t="s">
        <v>519</v>
      </c>
      <c r="AH67" s="2">
        <v>2020</v>
      </c>
      <c r="AI67" s="2">
        <v>0.09</v>
      </c>
      <c r="AJ67" s="2" t="s">
        <v>520</v>
      </c>
      <c r="BX67" s="9" t="s">
        <v>456</v>
      </c>
      <c r="BY67" s="66">
        <f t="shared" si="8"/>
        <v>313.60906795445851</v>
      </c>
      <c r="BZ67" s="66">
        <f t="shared" ref="BZ67:CB67" si="12">CA40*$CF$56</f>
        <v>39.931672812470403</v>
      </c>
      <c r="CA67" s="66">
        <f t="shared" si="12"/>
        <v>13.278507525258576</v>
      </c>
      <c r="CB67" s="66">
        <f t="shared" si="12"/>
        <v>18.551257961783442</v>
      </c>
      <c r="CC67" s="66">
        <f t="shared" si="10"/>
        <v>94.659290236942155</v>
      </c>
      <c r="CD67" s="66">
        <f t="shared" si="11"/>
        <v>5.7394219321061657</v>
      </c>
    </row>
    <row r="68" spans="1:82" hidden="1">
      <c r="A68" s="413"/>
      <c r="B68" s="9" t="s">
        <v>521</v>
      </c>
      <c r="C68" s="9">
        <v>399</v>
      </c>
      <c r="D68" s="78">
        <f>C68/C70</f>
        <v>0.2469059405940594</v>
      </c>
      <c r="E68" s="9">
        <f>0.86*0+0.98</f>
        <v>0.98</v>
      </c>
      <c r="F68" s="66">
        <f>C68/E68</f>
        <v>407.14285714285717</v>
      </c>
      <c r="G68" s="9" t="s">
        <v>519</v>
      </c>
      <c r="AH68" s="2">
        <v>2021</v>
      </c>
      <c r="AI68" s="80">
        <f>AI67-AJ65</f>
        <v>8.7300000000000003E-2</v>
      </c>
      <c r="AJ68" s="2" t="s">
        <v>520</v>
      </c>
      <c r="BX68" s="9" t="s">
        <v>457</v>
      </c>
      <c r="BY68" s="66">
        <f t="shared" si="8"/>
        <v>323.64918379502046</v>
      </c>
      <c r="BZ68" s="66">
        <f t="shared" ref="BZ68:CB68" si="13">CA41*$CF$56</f>
        <v>41.574267187900062</v>
      </c>
      <c r="CA68" s="66">
        <f t="shared" si="13"/>
        <v>13.732291227359186</v>
      </c>
      <c r="CB68" s="66">
        <f t="shared" si="13"/>
        <v>18.551257961783442</v>
      </c>
      <c r="CC68" s="66">
        <f t="shared" si="10"/>
        <v>101.36947391528611</v>
      </c>
      <c r="CD68" s="66">
        <f t="shared" si="11"/>
        <v>5.8928117651137963</v>
      </c>
    </row>
    <row r="69" spans="1:82" hidden="1">
      <c r="A69" s="413"/>
      <c r="B69" s="9" t="s">
        <v>522</v>
      </c>
      <c r="C69" s="9">
        <v>1105</v>
      </c>
      <c r="D69" s="78">
        <f>C69/C70</f>
        <v>0.68378712871287128</v>
      </c>
      <c r="E69" s="100">
        <v>1</v>
      </c>
      <c r="F69" s="66">
        <f>C69/E69</f>
        <v>1105</v>
      </c>
      <c r="G69" s="9" t="s">
        <v>519</v>
      </c>
      <c r="AH69" s="2">
        <v>2022</v>
      </c>
      <c r="AI69" s="80">
        <f>AI68-$AJ$65</f>
        <v>8.4600000000000009E-2</v>
      </c>
      <c r="AJ69" s="2" t="s">
        <v>520</v>
      </c>
      <c r="BX69" s="9" t="s">
        <v>458</v>
      </c>
      <c r="BY69" s="66">
        <f t="shared" si="8"/>
        <v>336.15940201518191</v>
      </c>
      <c r="BZ69" s="66">
        <f t="shared" ref="BZ69:CB69" si="14">CA42*$CF$56</f>
        <v>43.443683676835079</v>
      </c>
      <c r="CA69" s="66">
        <f t="shared" si="14"/>
        <v>14.267856957279754</v>
      </c>
      <c r="CB69" s="66">
        <f t="shared" si="14"/>
        <v>18.551257961783442</v>
      </c>
      <c r="CC69" s="66">
        <f t="shared" si="10"/>
        <v>108.07965759363005</v>
      </c>
      <c r="CD69" s="66">
        <f t="shared" si="11"/>
        <v>6.0514974954027316</v>
      </c>
    </row>
    <row r="70" spans="1:82" hidden="1">
      <c r="A70" s="413"/>
      <c r="B70" s="9" t="s">
        <v>523</v>
      </c>
      <c r="C70" s="436">
        <v>1616</v>
      </c>
      <c r="D70" s="9"/>
      <c r="E70" s="9"/>
      <c r="F70" s="9"/>
      <c r="G70" s="9"/>
      <c r="AH70" s="2">
        <v>2023</v>
      </c>
      <c r="AI70" s="80">
        <f>AI69-$AJ$65</f>
        <v>8.1900000000000014E-2</v>
      </c>
      <c r="AJ70" s="2" t="s">
        <v>520</v>
      </c>
      <c r="BX70" s="9" t="s">
        <v>459</v>
      </c>
      <c r="BY70" s="66">
        <f t="shared" si="8"/>
        <v>350.03523120333239</v>
      </c>
      <c r="BZ70" s="66">
        <f t="shared" ref="BZ70:CB70" si="15">CA43*$CF$56</f>
        <v>45.438500136452916</v>
      </c>
      <c r="CA70" s="66">
        <f t="shared" si="15"/>
        <v>14.848636373522673</v>
      </c>
      <c r="CB70" s="66">
        <f t="shared" si="15"/>
        <v>18.551257961783442</v>
      </c>
      <c r="CC70" s="66">
        <f t="shared" si="10"/>
        <v>114.789841271974</v>
      </c>
      <c r="CD70" s="66">
        <f t="shared" si="11"/>
        <v>6.2131110943793884</v>
      </c>
    </row>
    <row r="71" spans="1:82" hidden="1">
      <c r="A71" s="413"/>
      <c r="B71" s="9" t="s">
        <v>524</v>
      </c>
      <c r="C71" s="9"/>
      <c r="D71" s="9"/>
      <c r="E71" s="9"/>
      <c r="F71" s="66">
        <f>F67+F68</f>
        <v>447.47619047619048</v>
      </c>
      <c r="G71" s="9" t="s">
        <v>375</v>
      </c>
      <c r="AH71" s="2">
        <v>2024</v>
      </c>
      <c r="AI71" s="80">
        <f>AI70-$AJ$65</f>
        <v>7.920000000000002E-2</v>
      </c>
      <c r="AJ71" s="2" t="s">
        <v>520</v>
      </c>
      <c r="BX71" s="9" t="s">
        <v>460</v>
      </c>
      <c r="BY71" s="66">
        <f t="shared" si="8"/>
        <v>364.69482718040234</v>
      </c>
      <c r="BZ71" s="66">
        <f t="shared" ref="BZ71:CB71" si="16">CA44*$CF$56</f>
        <v>47.505287556070755</v>
      </c>
      <c r="CA71" s="66">
        <f t="shared" si="16"/>
        <v>15.455365336579998</v>
      </c>
      <c r="CB71" s="66">
        <f t="shared" si="16"/>
        <v>18.551257961783442</v>
      </c>
      <c r="CC71" s="66">
        <f t="shared" si="10"/>
        <v>121.50002495031794</v>
      </c>
      <c r="CD71" s="66">
        <f t="shared" si="11"/>
        <v>6.376405088646905</v>
      </c>
    </row>
    <row r="72" spans="1:82" hidden="1">
      <c r="A72" s="413"/>
      <c r="B72" s="9" t="s">
        <v>525</v>
      </c>
      <c r="C72" s="9"/>
      <c r="D72" s="9"/>
      <c r="E72" s="9"/>
      <c r="F72" s="79">
        <f>(F71)/C70</f>
        <v>0.27690358321546443</v>
      </c>
      <c r="G72" s="9" t="s">
        <v>526</v>
      </c>
      <c r="AH72" s="2">
        <v>2025</v>
      </c>
      <c r="AI72" s="80">
        <f>AI71-$AJ$65</f>
        <v>7.6500000000000026E-2</v>
      </c>
      <c r="AJ72" s="2" t="s">
        <v>520</v>
      </c>
      <c r="BX72" s="9" t="s">
        <v>461</v>
      </c>
      <c r="BY72" s="66">
        <f t="shared" si="8"/>
        <v>380.13818994639217</v>
      </c>
      <c r="BZ72" s="66">
        <f t="shared" ref="BZ72:CB72" si="17">CA45*$CF$56</f>
        <v>49.644045935688595</v>
      </c>
      <c r="CA72" s="66">
        <f t="shared" si="17"/>
        <v>16.088043846451725</v>
      </c>
      <c r="CB72" s="66">
        <f t="shared" si="17"/>
        <v>18.551257961783442</v>
      </c>
      <c r="CC72" s="66">
        <f t="shared" si="10"/>
        <v>128.21020862866189</v>
      </c>
      <c r="CD72" s="66">
        <f t="shared" si="11"/>
        <v>6.5413794782052808</v>
      </c>
    </row>
    <row r="73" spans="1:82" hidden="1">
      <c r="A73" s="414"/>
      <c r="B73" s="9" t="s">
        <v>527</v>
      </c>
      <c r="C73" s="9"/>
      <c r="D73" s="9"/>
      <c r="E73" s="9"/>
      <c r="F73" s="100">
        <f>F69/C70</f>
        <v>0.68378712871287128</v>
      </c>
      <c r="G73" s="9" t="s">
        <v>528</v>
      </c>
      <c r="AH73" s="2">
        <v>2026</v>
      </c>
      <c r="AI73" s="80">
        <f>AI72-$AJ$65</f>
        <v>7.3800000000000032E-2</v>
      </c>
      <c r="AJ73" s="2" t="s">
        <v>520</v>
      </c>
      <c r="BX73" s="9" t="s">
        <v>462</v>
      </c>
      <c r="BY73" s="66">
        <f t="shared" si="8"/>
        <v>396.36531950130149</v>
      </c>
      <c r="BZ73" s="66">
        <f t="shared" ref="BZ73:CB73" si="18">CA46*$CF$56</f>
        <v>51.85477527530643</v>
      </c>
      <c r="CA73" s="66">
        <f t="shared" si="18"/>
        <v>16.746671903137862</v>
      </c>
      <c r="CB73" s="66">
        <f t="shared" si="18"/>
        <v>18.551257961783442</v>
      </c>
      <c r="CC73" s="66">
        <f t="shared" si="10"/>
        <v>134.92039230700587</v>
      </c>
      <c r="CD73" s="66">
        <f t="shared" si="11"/>
        <v>6.708034263054512</v>
      </c>
    </row>
    <row r="74" spans="1:82" hidden="1">
      <c r="X74" s="63"/>
      <c r="Y74" s="63"/>
      <c r="Z74" s="63" t="s">
        <v>529</v>
      </c>
      <c r="AA74" s="63"/>
      <c r="AB74" s="63"/>
      <c r="AC74" s="63"/>
      <c r="AD74" s="63"/>
      <c r="AE74" s="63"/>
      <c r="AF74" s="63"/>
      <c r="AH74" s="2">
        <v>2027</v>
      </c>
      <c r="AI74" s="80">
        <f>AI73-$AJ$65</f>
        <v>7.1100000000000038E-2</v>
      </c>
      <c r="AJ74" s="2" t="s">
        <v>520</v>
      </c>
      <c r="BX74" s="9" t="s">
        <v>463</v>
      </c>
      <c r="BY74" s="66">
        <f t="shared" si="8"/>
        <v>413.37621584513056</v>
      </c>
      <c r="BZ74" s="66">
        <f t="shared" ref="BZ74:CB74" si="19">CA47*$CF$56</f>
        <v>54.137475574924267</v>
      </c>
      <c r="CA74" s="66">
        <f t="shared" si="19"/>
        <v>17.431249506638398</v>
      </c>
      <c r="CB74" s="66">
        <f t="shared" si="19"/>
        <v>18.551257961783442</v>
      </c>
      <c r="CC74" s="66">
        <f t="shared" si="10"/>
        <v>141.63057598534976</v>
      </c>
      <c r="CD74" s="66">
        <f t="shared" si="11"/>
        <v>6.8763694431946059</v>
      </c>
    </row>
    <row r="75" spans="1:82">
      <c r="X75" s="63"/>
      <c r="Y75" s="63"/>
      <c r="Z75" s="63"/>
      <c r="AA75" s="63"/>
      <c r="AB75" s="63"/>
      <c r="AC75" s="63"/>
      <c r="AD75" s="63"/>
      <c r="AE75" s="63"/>
      <c r="AF75" s="63"/>
      <c r="AH75" s="2">
        <v>2028</v>
      </c>
      <c r="AI75" s="80">
        <f>AI74-$AJ$65</f>
        <v>6.8400000000000044E-2</v>
      </c>
      <c r="AJ75" s="2" t="s">
        <v>520</v>
      </c>
      <c r="BX75" s="9" t="s">
        <v>464</v>
      </c>
      <c r="BY75" s="66">
        <f t="shared" si="8"/>
        <v>431.17087897787923</v>
      </c>
      <c r="BZ75" s="66">
        <f t="shared" ref="BZ75:CB75" si="20">CA48*$CF$56</f>
        <v>56.492146834542098</v>
      </c>
      <c r="CA75" s="66">
        <f t="shared" si="20"/>
        <v>18.14177665695334</v>
      </c>
      <c r="CB75" s="66">
        <f t="shared" si="20"/>
        <v>18.551257961783442</v>
      </c>
      <c r="CC75" s="66">
        <f t="shared" si="10"/>
        <v>148.34075966369372</v>
      </c>
      <c r="CD75" s="66">
        <f t="shared" si="11"/>
        <v>7.0463850186255579</v>
      </c>
    </row>
    <row r="76" spans="1:82">
      <c r="B76" s="9" t="s">
        <v>531</v>
      </c>
      <c r="C76" s="79">
        <v>0.10462896495714274</v>
      </c>
      <c r="D76" s="9" t="s">
        <v>520</v>
      </c>
      <c r="E76" s="9" t="s">
        <v>532</v>
      </c>
      <c r="X76" s="63"/>
      <c r="Y76" s="63"/>
      <c r="Z76" s="63"/>
      <c r="AA76" s="63"/>
      <c r="AB76" s="63"/>
      <c r="AC76" s="63"/>
      <c r="AD76" s="63"/>
      <c r="AE76" s="63"/>
      <c r="AF76" s="63"/>
      <c r="AH76" s="2">
        <v>2029</v>
      </c>
      <c r="AI76" s="80">
        <f>AI75-$AJ$65</f>
        <v>6.570000000000005E-2</v>
      </c>
      <c r="AJ76" s="2" t="s">
        <v>520</v>
      </c>
      <c r="BX76" s="9" t="s">
        <v>465</v>
      </c>
      <c r="BY76" s="66">
        <f t="shared" si="8"/>
        <v>449.74930889954754</v>
      </c>
      <c r="BZ76" s="66">
        <f t="shared" ref="BZ76:CB76" si="21">CA49*$CF$56</f>
        <v>58.918789054159923</v>
      </c>
      <c r="CA76" s="66">
        <f t="shared" si="21"/>
        <v>18.878253354082688</v>
      </c>
      <c r="CB76" s="66">
        <f t="shared" si="21"/>
        <v>18.551257961783442</v>
      </c>
      <c r="CC76" s="66">
        <f t="shared" si="10"/>
        <v>155.05094334203764</v>
      </c>
      <c r="CD76" s="66">
        <f t="shared" si="11"/>
        <v>7.2180809893473636</v>
      </c>
    </row>
    <row r="77" spans="1:82">
      <c r="B77" s="9" t="s">
        <v>533</v>
      </c>
      <c r="C77" s="79">
        <v>1.7747665114285747E-2</v>
      </c>
      <c r="D77" s="9" t="s">
        <v>520</v>
      </c>
      <c r="E77" s="9" t="s">
        <v>534</v>
      </c>
      <c r="X77" s="63"/>
      <c r="Y77" s="63"/>
      <c r="Z77" s="63"/>
      <c r="AA77" s="63"/>
      <c r="AB77" s="63"/>
      <c r="AC77" s="63"/>
      <c r="AD77" s="63"/>
      <c r="AE77" s="63"/>
      <c r="AF77" s="63"/>
      <c r="AH77" s="2">
        <v>2030</v>
      </c>
      <c r="AI77" s="80">
        <f>AI76-$AJ$65</f>
        <v>6.3000000000000056E-2</v>
      </c>
      <c r="AJ77" s="2" t="s">
        <v>520</v>
      </c>
      <c r="BX77" s="9" t="s">
        <v>466</v>
      </c>
      <c r="BY77" s="66">
        <f t="shared" si="8"/>
        <v>469.11150561013574</v>
      </c>
      <c r="BZ77" s="66">
        <f t="shared" ref="BZ77:CB77" si="22">CA50*$CF$56</f>
        <v>61.417402233777771</v>
      </c>
      <c r="CA77" s="66">
        <f t="shared" si="22"/>
        <v>19.640679598026438</v>
      </c>
      <c r="CB77" s="66">
        <f t="shared" si="22"/>
        <v>18.551257961783442</v>
      </c>
      <c r="CC77" s="66">
        <f t="shared" si="10"/>
        <v>161.76112702038162</v>
      </c>
      <c r="CD77" s="66">
        <f t="shared" si="11"/>
        <v>7.3914573553600347</v>
      </c>
    </row>
    <row r="78" spans="1:82">
      <c r="B78" s="9" t="s">
        <v>535</v>
      </c>
      <c r="C78" s="79">
        <v>2.4147521285714301E-2</v>
      </c>
      <c r="D78" s="9" t="s">
        <v>520</v>
      </c>
      <c r="E78" s="9"/>
      <c r="X78" s="63"/>
      <c r="Y78" s="63"/>
      <c r="Z78" s="63"/>
      <c r="AA78" s="63"/>
      <c r="AB78" s="63"/>
      <c r="AC78" s="63"/>
      <c r="AD78" s="63"/>
      <c r="AE78" s="63"/>
      <c r="AF78" s="63"/>
      <c r="AH78" s="2">
        <v>2031</v>
      </c>
      <c r="AI78" s="80">
        <f>AI77-$AJ$65</f>
        <v>6.0300000000000055E-2</v>
      </c>
      <c r="AJ78" s="2" t="s">
        <v>520</v>
      </c>
      <c r="BX78" s="9" t="s">
        <v>467</v>
      </c>
      <c r="BY78" s="66">
        <f t="shared" si="8"/>
        <v>489.25746910964347</v>
      </c>
      <c r="BZ78" s="66">
        <f t="shared" ref="BZ78:CB78" si="23">CA51*$CF$56</f>
        <v>63.9879863733956</v>
      </c>
      <c r="CA78" s="66">
        <f t="shared" si="23"/>
        <v>20.429055388784597</v>
      </c>
      <c r="CB78" s="66">
        <f t="shared" si="23"/>
        <v>18.551257961783442</v>
      </c>
      <c r="CC78" s="66">
        <f t="shared" si="10"/>
        <v>168.47131069872555</v>
      </c>
      <c r="CD78" s="66">
        <f t="shared" si="11"/>
        <v>7.5665141166635603</v>
      </c>
    </row>
    <row r="79" spans="1:82">
      <c r="X79" s="63"/>
      <c r="Y79" s="63"/>
      <c r="Z79" s="63"/>
      <c r="AA79" s="63"/>
      <c r="AB79" s="63"/>
      <c r="AC79" s="63"/>
      <c r="AD79" s="63"/>
      <c r="AE79" s="63"/>
      <c r="AF79" s="63"/>
      <c r="AH79" s="2">
        <v>2032</v>
      </c>
      <c r="AI79" s="80">
        <f>AI78-$AJ$65</f>
        <v>5.7600000000000054E-2</v>
      </c>
      <c r="AJ79" s="2" t="s">
        <v>520</v>
      </c>
      <c r="BX79" s="9" t="s">
        <v>468</v>
      </c>
      <c r="BY79" s="66">
        <f t="shared" si="8"/>
        <v>510.18719939807073</v>
      </c>
      <c r="BZ79" s="66">
        <f t="shared" ref="BZ79:CB79" si="24">CA52*$CF$56</f>
        <v>66.630541473013437</v>
      </c>
      <c r="CA79" s="66">
        <f t="shared" si="24"/>
        <v>21.243380726357152</v>
      </c>
      <c r="CB79" s="66">
        <f t="shared" si="24"/>
        <v>18.551257961783442</v>
      </c>
      <c r="CC79" s="66">
        <f t="shared" si="10"/>
        <v>175.18149437706953</v>
      </c>
      <c r="CD79" s="66">
        <f t="shared" si="11"/>
        <v>7.7432512732579468</v>
      </c>
    </row>
    <row r="80" spans="1:82" ht="15">
      <c r="B80" s="9" t="s">
        <v>636</v>
      </c>
      <c r="C80" s="79">
        <f>C98+C100</f>
        <v>3.8751119274583641E-2</v>
      </c>
      <c r="D80" s="9" t="s">
        <v>537</v>
      </c>
      <c r="X80" s="63"/>
      <c r="Y80" s="63"/>
      <c r="Z80" s="63"/>
      <c r="AA80" s="63"/>
      <c r="AB80" s="63"/>
      <c r="AC80" s="63"/>
      <c r="AD80" s="63"/>
      <c r="AE80" s="63"/>
      <c r="AF80" s="63"/>
      <c r="AH80" s="2">
        <v>2033</v>
      </c>
      <c r="AI80" s="80">
        <f>AI79-$AJ$65</f>
        <v>5.4900000000000053E-2</v>
      </c>
      <c r="AJ80" s="2" t="s">
        <v>520</v>
      </c>
      <c r="BX80" s="9" t="s">
        <v>469</v>
      </c>
      <c r="BY80" s="66">
        <f t="shared" si="8"/>
        <v>531.90069647541782</v>
      </c>
      <c r="BZ80" s="66">
        <f t="shared" ref="BZ80:CB80" si="25">CA53*$CF$56</f>
        <v>69.345067532631262</v>
      </c>
      <c r="CA80" s="66">
        <f t="shared" si="25"/>
        <v>22.08365561074412</v>
      </c>
      <c r="CB80" s="66">
        <f t="shared" si="25"/>
        <v>18.551257961783442</v>
      </c>
      <c r="CC80" s="66">
        <f t="shared" si="10"/>
        <v>181.89167805541345</v>
      </c>
      <c r="CD80" s="66">
        <f t="shared" si="11"/>
        <v>7.9216688251431915</v>
      </c>
    </row>
    <row r="81" spans="1:82">
      <c r="B81" s="9" t="s">
        <v>538</v>
      </c>
      <c r="C81" s="444">
        <f>C80+F73*C90</f>
        <v>8.9146230660722248E-2</v>
      </c>
      <c r="D81" s="9" t="s">
        <v>537</v>
      </c>
      <c r="X81" s="63"/>
      <c r="Y81" s="63"/>
      <c r="Z81" s="63"/>
      <c r="AA81" s="63"/>
      <c r="AB81" s="63"/>
      <c r="AC81" s="63"/>
      <c r="AD81" s="63"/>
      <c r="AE81" s="63"/>
      <c r="AF81" s="63"/>
      <c r="AH81" s="2">
        <v>2034</v>
      </c>
      <c r="AI81" s="80">
        <f>AI80-$AJ$65</f>
        <v>5.2200000000000052E-2</v>
      </c>
      <c r="AJ81" s="2" t="s">
        <v>520</v>
      </c>
      <c r="BX81" s="9" t="s">
        <v>470</v>
      </c>
      <c r="BY81" s="66">
        <f t="shared" si="8"/>
        <v>554.39796034168455</v>
      </c>
      <c r="BZ81" s="66">
        <f t="shared" ref="BZ81:CB81" si="26">CA54*$CF$56</f>
        <v>72.131564552249117</v>
      </c>
      <c r="CA81" s="66">
        <f t="shared" si="26"/>
        <v>22.949880041945491</v>
      </c>
      <c r="CB81" s="66">
        <f t="shared" si="26"/>
        <v>18.551257961783442</v>
      </c>
      <c r="CC81" s="66">
        <f t="shared" si="10"/>
        <v>188.6018617337574</v>
      </c>
      <c r="CD81" s="66">
        <f t="shared" si="11"/>
        <v>8.1017667723192943</v>
      </c>
    </row>
    <row r="82" spans="1:82">
      <c r="X82" s="63"/>
      <c r="Y82" s="63"/>
      <c r="Z82" s="63"/>
      <c r="AA82" s="63"/>
      <c r="AB82" s="63"/>
      <c r="AC82" s="63"/>
      <c r="AD82" s="63"/>
      <c r="AE82" s="63"/>
      <c r="AF82" s="63"/>
      <c r="AH82" s="2">
        <v>2035</v>
      </c>
      <c r="AI82" s="80">
        <f>AI81-$AJ$65</f>
        <v>4.9500000000000051E-2</v>
      </c>
      <c r="AJ82" s="2" t="s">
        <v>520</v>
      </c>
    </row>
    <row r="83" spans="1:82">
      <c r="B83" s="9" t="s">
        <v>539</v>
      </c>
      <c r="C83" s="79">
        <f>C98+C101</f>
        <v>1.4693376033679371E-2</v>
      </c>
      <c r="D83" s="9" t="s">
        <v>537</v>
      </c>
      <c r="X83" s="63"/>
      <c r="Y83" s="63"/>
      <c r="Z83" s="63"/>
      <c r="AA83" s="63"/>
      <c r="AB83" s="63"/>
      <c r="AC83" s="63"/>
      <c r="AD83" s="63"/>
      <c r="AE83" s="63"/>
      <c r="AF83" s="63"/>
      <c r="AH83" s="2">
        <v>2036</v>
      </c>
      <c r="AI83" s="80">
        <f>AI82-$AJ$65</f>
        <v>4.680000000000005E-2</v>
      </c>
      <c r="AJ83" s="2" t="s">
        <v>520</v>
      </c>
    </row>
    <row r="84" spans="1:82">
      <c r="B84" s="9" t="s">
        <v>540</v>
      </c>
      <c r="C84" s="79">
        <f>C83+F73*C90</f>
        <v>6.5088487419817986E-2</v>
      </c>
      <c r="D84" s="9" t="s">
        <v>537</v>
      </c>
      <c r="X84" s="63" t="s">
        <v>541</v>
      </c>
      <c r="Y84" s="63"/>
      <c r="Z84" s="63"/>
      <c r="AA84" s="63"/>
      <c r="AB84" s="63"/>
      <c r="AC84" s="63"/>
      <c r="AD84" s="63"/>
      <c r="AE84" s="63"/>
      <c r="AF84" s="63"/>
      <c r="AH84" s="2">
        <v>2037</v>
      </c>
      <c r="AI84" s="80">
        <f>AI83-$AJ$65</f>
        <v>4.4100000000000049E-2</v>
      </c>
      <c r="AJ84" s="2" t="s">
        <v>520</v>
      </c>
    </row>
    <row r="85" spans="1:82">
      <c r="X85" s="63" t="s">
        <v>542</v>
      </c>
      <c r="Y85" s="63">
        <v>0.22</v>
      </c>
      <c r="Z85" s="63"/>
      <c r="AA85" s="104">
        <v>0.19500000000000001</v>
      </c>
      <c r="AB85" s="63"/>
      <c r="AC85" s="63"/>
      <c r="AD85" s="63"/>
      <c r="AE85" s="63"/>
      <c r="AF85" s="63"/>
      <c r="AH85" s="2">
        <v>2038</v>
      </c>
      <c r="AI85" s="80">
        <f>AI84-$AJ$65</f>
        <v>4.1400000000000048E-2</v>
      </c>
      <c r="AJ85" s="2" t="s">
        <v>520</v>
      </c>
    </row>
    <row r="86" spans="1:82" hidden="1">
      <c r="X86" s="63" t="s">
        <v>543</v>
      </c>
      <c r="Y86" s="104">
        <v>0.03</v>
      </c>
      <c r="Z86" s="63"/>
      <c r="AA86" s="63"/>
      <c r="AB86" s="104">
        <v>0.109</v>
      </c>
      <c r="AC86" s="104">
        <v>0.28499999999999998</v>
      </c>
      <c r="AD86" s="104">
        <f>AB86*AC86</f>
        <v>3.1064999999999999E-2</v>
      </c>
      <c r="AE86" s="63"/>
      <c r="AF86" s="63"/>
      <c r="AH86" s="2">
        <v>2039</v>
      </c>
      <c r="AI86" s="80">
        <f>AI85-$AJ$65</f>
        <v>3.8700000000000047E-2</v>
      </c>
      <c r="AJ86" s="2" t="s">
        <v>520</v>
      </c>
    </row>
    <row r="87" spans="1:82" hidden="1">
      <c r="X87" s="63"/>
      <c r="Y87" s="63"/>
      <c r="Z87" s="63"/>
      <c r="AA87" s="63"/>
      <c r="AB87" s="63"/>
      <c r="AC87" s="63"/>
      <c r="AD87" s="63"/>
      <c r="AE87" s="63"/>
      <c r="AF87" s="63"/>
      <c r="AH87" s="2">
        <v>2040</v>
      </c>
      <c r="AI87" s="80">
        <f>AI86-$AJ$65</f>
        <v>3.6000000000000046E-2</v>
      </c>
      <c r="AJ87" s="2" t="s">
        <v>520</v>
      </c>
    </row>
    <row r="88" spans="1:82">
      <c r="X88" s="63"/>
      <c r="Y88" s="63"/>
      <c r="Z88" s="63"/>
      <c r="AA88" s="63"/>
      <c r="AB88" s="63"/>
      <c r="AC88" s="63"/>
      <c r="AD88" s="105">
        <f>D67/AD86</f>
        <v>2.4103086310562492</v>
      </c>
      <c r="AE88" s="63"/>
      <c r="AF88" s="63"/>
      <c r="AH88" s="2">
        <v>2041</v>
      </c>
      <c r="AI88" s="80">
        <f>AI87-$AJ$65</f>
        <v>3.3300000000000045E-2</v>
      </c>
      <c r="AJ88" s="2" t="s">
        <v>520</v>
      </c>
    </row>
    <row r="89" spans="1:82" ht="56.25" customHeight="1">
      <c r="B89" s="126" t="s">
        <v>544</v>
      </c>
      <c r="C89" s="415" t="s">
        <v>545</v>
      </c>
      <c r="D89" s="416"/>
      <c r="E89" s="126" t="s">
        <v>546</v>
      </c>
      <c r="X89" s="63"/>
      <c r="Y89" s="63"/>
      <c r="Z89" s="63"/>
      <c r="AA89" s="63"/>
      <c r="AB89" s="63"/>
      <c r="AC89" s="63"/>
      <c r="AD89" s="63"/>
      <c r="AE89" s="63"/>
      <c r="AF89" s="63"/>
      <c r="AH89" s="2">
        <v>2042</v>
      </c>
      <c r="AI89" s="80">
        <f>AI88-$AJ$65</f>
        <v>3.0600000000000044E-2</v>
      </c>
      <c r="AJ89" s="2" t="s">
        <v>520</v>
      </c>
    </row>
    <row r="90" spans="1:82">
      <c r="B90" s="9">
        <v>2025</v>
      </c>
      <c r="C90" s="79">
        <v>7.3700000000000002E-2</v>
      </c>
      <c r="D90" s="9" t="s">
        <v>547</v>
      </c>
      <c r="E90" s="9" t="s">
        <v>548</v>
      </c>
      <c r="X90" s="63"/>
      <c r="Y90" s="63"/>
      <c r="Z90" s="63"/>
      <c r="AA90" s="63"/>
      <c r="AB90" s="63"/>
      <c r="AC90" s="63"/>
      <c r="AD90" s="63"/>
      <c r="AE90" s="63"/>
      <c r="AF90" s="63"/>
      <c r="AH90" s="2">
        <v>2043</v>
      </c>
      <c r="AI90" s="80">
        <f>AI89-$AJ$65</f>
        <v>2.7900000000000043E-2</v>
      </c>
      <c r="AJ90" s="2" t="s">
        <v>520</v>
      </c>
    </row>
    <row r="91" spans="1:82">
      <c r="B91" s="9">
        <v>2026</v>
      </c>
      <c r="C91" s="9">
        <v>7.2999999999999995E-2</v>
      </c>
      <c r="D91" s="9" t="s">
        <v>547</v>
      </c>
      <c r="E91" s="9" t="s">
        <v>548</v>
      </c>
      <c r="X91" s="63"/>
      <c r="Y91" s="63"/>
      <c r="Z91" s="63"/>
      <c r="AA91" s="63"/>
      <c r="AB91" s="63"/>
      <c r="AC91" s="63"/>
      <c r="AD91" s="63"/>
      <c r="AE91" s="63"/>
      <c r="AF91" s="63"/>
      <c r="AH91" s="2">
        <v>2044</v>
      </c>
      <c r="AI91" s="80">
        <f>AI90-$AJ$65</f>
        <v>2.5200000000000042E-2</v>
      </c>
      <c r="AJ91" s="2" t="s">
        <v>520</v>
      </c>
    </row>
    <row r="92" spans="1:82">
      <c r="B92" s="9">
        <v>2027</v>
      </c>
      <c r="C92" s="79">
        <v>7.22E-2</v>
      </c>
      <c r="D92" s="9" t="s">
        <v>547</v>
      </c>
      <c r="E92" s="9" t="s">
        <v>548</v>
      </c>
      <c r="X92" s="63"/>
      <c r="Y92" s="63"/>
      <c r="Z92" s="63"/>
      <c r="AA92" s="63"/>
      <c r="AB92" s="63"/>
      <c r="AC92" s="63"/>
      <c r="AD92" s="63"/>
      <c r="AE92" s="63"/>
      <c r="AF92" s="63"/>
      <c r="AH92" s="2">
        <v>2045</v>
      </c>
      <c r="AI92" s="80">
        <f>AI91-$AJ$65</f>
        <v>2.2500000000000041E-2</v>
      </c>
      <c r="AJ92" s="2" t="s">
        <v>520</v>
      </c>
    </row>
    <row r="93" spans="1:82">
      <c r="X93" s="63"/>
      <c r="Y93" s="63"/>
      <c r="Z93" s="63"/>
      <c r="AA93" s="63"/>
      <c r="AB93" s="63"/>
      <c r="AC93" s="63"/>
      <c r="AD93" s="63"/>
      <c r="AE93" s="63"/>
      <c r="AF93" s="63"/>
      <c r="AH93" s="2">
        <v>2046</v>
      </c>
      <c r="AI93" s="80">
        <f>AI92-$AJ$65</f>
        <v>1.980000000000004E-2</v>
      </c>
      <c r="AJ93" s="2" t="s">
        <v>520</v>
      </c>
    </row>
    <row r="94" spans="1:82" hidden="1">
      <c r="X94" s="63"/>
      <c r="Y94" s="63"/>
      <c r="Z94" s="63"/>
      <c r="AA94" s="63"/>
      <c r="AB94" s="63"/>
      <c r="AC94" s="63"/>
      <c r="AD94" s="63"/>
      <c r="AE94" s="63"/>
      <c r="AF94" s="63"/>
      <c r="AH94" s="2">
        <v>2047</v>
      </c>
      <c r="AI94" s="80">
        <f>AI93-$AJ$65</f>
        <v>1.7100000000000039E-2</v>
      </c>
      <c r="AJ94" s="2" t="s">
        <v>520</v>
      </c>
    </row>
    <row r="95" spans="1:82" ht="122.25" hidden="1" customHeight="1">
      <c r="A95" s="412" t="s">
        <v>144</v>
      </c>
      <c r="B95" s="37" t="s">
        <v>549</v>
      </c>
      <c r="C95" s="79">
        <v>1.72E-2</v>
      </c>
      <c r="D95" s="9" t="s">
        <v>550</v>
      </c>
      <c r="X95" s="63"/>
      <c r="Y95" s="63"/>
      <c r="Z95" s="63"/>
      <c r="AA95" s="63"/>
      <c r="AB95" s="63"/>
      <c r="AC95" s="63"/>
      <c r="AD95" s="63"/>
      <c r="AE95" s="63"/>
      <c r="AF95" s="63"/>
      <c r="AH95" s="2">
        <v>2048</v>
      </c>
      <c r="AI95" s="80">
        <f>AI94-$AJ$65</f>
        <v>1.4400000000000038E-2</v>
      </c>
      <c r="AJ95" s="2" t="s">
        <v>520</v>
      </c>
    </row>
    <row r="96" spans="1:82" hidden="1">
      <c r="A96" s="413"/>
      <c r="B96" s="37" t="s">
        <v>551</v>
      </c>
      <c r="C96" s="79">
        <f>26.8/1000</f>
        <v>2.6800000000000001E-2</v>
      </c>
      <c r="D96" s="9" t="s">
        <v>552</v>
      </c>
      <c r="X96" s="63"/>
      <c r="Y96" s="63"/>
      <c r="Z96" s="63"/>
      <c r="AA96" s="63"/>
      <c r="AB96" s="63"/>
      <c r="AC96" s="63"/>
      <c r="AD96" s="63"/>
      <c r="AE96" s="63"/>
      <c r="AF96" s="63"/>
      <c r="AH96" s="2">
        <v>2049</v>
      </c>
      <c r="AI96" s="80">
        <f>AI95-$AJ$65</f>
        <v>1.1700000000000037E-2</v>
      </c>
      <c r="AJ96" s="2" t="s">
        <v>520</v>
      </c>
    </row>
    <row r="97" spans="1:36" hidden="1">
      <c r="A97" s="413"/>
      <c r="B97" s="37" t="s">
        <v>553</v>
      </c>
      <c r="C97" s="79">
        <f>C96*F72</f>
        <v>7.421016030174447E-3</v>
      </c>
      <c r="D97" s="9" t="s">
        <v>554</v>
      </c>
      <c r="X97" s="63"/>
      <c r="Y97" s="63"/>
      <c r="Z97" s="63"/>
      <c r="AA97" s="63"/>
      <c r="AB97" s="63"/>
      <c r="AC97" s="63"/>
      <c r="AD97" s="63"/>
      <c r="AE97" s="63"/>
      <c r="AF97" s="63"/>
      <c r="AH97" s="2">
        <v>2050</v>
      </c>
      <c r="AI97" s="2">
        <v>8.9999999999999993E-3</v>
      </c>
      <c r="AJ97" s="2" t="s">
        <v>520</v>
      </c>
    </row>
    <row r="98" spans="1:36" hidden="1">
      <c r="A98" s="413"/>
      <c r="B98" s="37" t="s">
        <v>555</v>
      </c>
      <c r="C98" s="79">
        <f>C95-C97</f>
        <v>9.778983969825553E-3</v>
      </c>
      <c r="D98" s="9" t="s">
        <v>556</v>
      </c>
      <c r="X98" s="63"/>
      <c r="Y98" s="63"/>
      <c r="Z98" s="63"/>
      <c r="AA98" s="63"/>
      <c r="AB98" s="63">
        <v>0.22</v>
      </c>
      <c r="AC98" s="63"/>
      <c r="AD98" s="63"/>
      <c r="AE98" s="63"/>
      <c r="AF98" s="63"/>
      <c r="AH98" s="2">
        <v>2051</v>
      </c>
      <c r="AI98" s="2">
        <v>8.9999999999999993E-3</v>
      </c>
      <c r="AJ98" s="2" t="s">
        <v>520</v>
      </c>
    </row>
    <row r="99" spans="1:36" hidden="1">
      <c r="A99" s="413"/>
      <c r="X99" s="63"/>
      <c r="Y99" s="63"/>
      <c r="Z99" s="63"/>
      <c r="AA99" s="63"/>
      <c r="AB99" s="63"/>
      <c r="AC99" s="63"/>
      <c r="AD99" s="63"/>
      <c r="AE99" s="63"/>
      <c r="AF99" s="63"/>
      <c r="AH99" s="2">
        <v>2052</v>
      </c>
      <c r="AI99" s="2">
        <v>8.9999999999999993E-3</v>
      </c>
      <c r="AJ99" s="2" t="s">
        <v>520</v>
      </c>
    </row>
    <row r="100" spans="1:36" hidden="1">
      <c r="A100" s="413"/>
      <c r="B100" s="37" t="s">
        <v>557</v>
      </c>
      <c r="C100" s="79">
        <f>F72*C76</f>
        <v>2.8972135304758086E-2</v>
      </c>
      <c r="D100" s="9" t="s">
        <v>554</v>
      </c>
      <c r="X100" s="63"/>
      <c r="Y100" s="63"/>
      <c r="Z100" s="63"/>
      <c r="AA100" s="63"/>
      <c r="AB100" s="63"/>
      <c r="AC100" s="63"/>
      <c r="AD100" s="63"/>
      <c r="AE100" s="63"/>
      <c r="AF100" s="63"/>
      <c r="AH100" s="2">
        <v>2053</v>
      </c>
      <c r="AI100" s="2">
        <v>8.9999999999999993E-3</v>
      </c>
      <c r="AJ100" s="2" t="s">
        <v>520</v>
      </c>
    </row>
    <row r="101" spans="1:36" hidden="1">
      <c r="A101" s="414"/>
      <c r="B101" s="37" t="s">
        <v>558</v>
      </c>
      <c r="C101" s="79">
        <f>F72*C77</f>
        <v>4.9143920638538181E-3</v>
      </c>
      <c r="D101" s="9" t="s">
        <v>554</v>
      </c>
      <c r="X101" s="63"/>
      <c r="Y101" s="63"/>
      <c r="Z101" s="63"/>
      <c r="AA101" s="63"/>
      <c r="AB101" s="63"/>
      <c r="AC101" s="63"/>
      <c r="AD101" s="63"/>
      <c r="AE101" s="63"/>
      <c r="AF101" s="63"/>
      <c r="AH101" s="2">
        <v>2054</v>
      </c>
      <c r="AI101" s="2">
        <v>8.9999999999999993E-3</v>
      </c>
      <c r="AJ101" s="2" t="s">
        <v>520</v>
      </c>
    </row>
    <row r="102" spans="1:36" hidden="1">
      <c r="X102" s="63"/>
      <c r="Y102" s="63"/>
      <c r="Z102" s="63"/>
      <c r="AA102" s="63"/>
      <c r="AB102" s="63"/>
      <c r="AC102" s="63"/>
      <c r="AD102" s="63"/>
      <c r="AE102" s="63"/>
      <c r="AF102" s="63"/>
      <c r="AH102" s="2">
        <v>2055</v>
      </c>
      <c r="AI102" s="2">
        <v>8.9999999999999993E-3</v>
      </c>
      <c r="AJ102" s="2" t="s">
        <v>520</v>
      </c>
    </row>
    <row r="103" spans="1:36" hidden="1">
      <c r="AH103" s="2">
        <v>2056</v>
      </c>
      <c r="AI103" s="2">
        <v>8.9999999999999993E-3</v>
      </c>
      <c r="AJ103" s="2" t="s">
        <v>520</v>
      </c>
    </row>
    <row r="104" spans="1:36" hidden="1">
      <c r="AH104" s="2">
        <v>2057</v>
      </c>
      <c r="AI104" s="2">
        <v>8.9999999999999993E-3</v>
      </c>
      <c r="AJ104" s="2" t="s">
        <v>520</v>
      </c>
    </row>
    <row r="105" spans="1:36" ht="15">
      <c r="B105" s="5" t="s">
        <v>559</v>
      </c>
      <c r="Y105" s="2" t="s">
        <v>560</v>
      </c>
      <c r="Z105" s="2" t="s">
        <v>561</v>
      </c>
      <c r="AA105" s="82">
        <f>AVERAGE(AI72:AI121)</f>
        <v>2.6549999999999973E-2</v>
      </c>
      <c r="AB105" s="81" t="s">
        <v>562</v>
      </c>
      <c r="AH105" s="2">
        <v>2058</v>
      </c>
      <c r="AI105" s="2">
        <v>8.9999999999999993E-3</v>
      </c>
      <c r="AJ105" s="2" t="s">
        <v>520</v>
      </c>
    </row>
    <row r="106" spans="1:36">
      <c r="B106" s="101" t="s">
        <v>176</v>
      </c>
      <c r="C106" s="101" t="s">
        <v>177</v>
      </c>
      <c r="D106" s="101" t="s">
        <v>563</v>
      </c>
      <c r="E106" s="101" t="s">
        <v>564</v>
      </c>
      <c r="F106" s="101" t="s">
        <v>180</v>
      </c>
      <c r="G106" s="101" t="s">
        <v>172</v>
      </c>
      <c r="H106" s="101" t="s">
        <v>546</v>
      </c>
      <c r="AH106" s="2">
        <v>2059</v>
      </c>
      <c r="AI106" s="2">
        <v>8.9999999999999993E-3</v>
      </c>
      <c r="AJ106" s="2" t="s">
        <v>520</v>
      </c>
    </row>
    <row r="107" spans="1:36">
      <c r="B107" s="66">
        <v>155.60203203035528</v>
      </c>
      <c r="C107" s="66">
        <v>9.4514106851301811</v>
      </c>
      <c r="D107" s="66">
        <v>4.0210290743086627</v>
      </c>
      <c r="E107" s="66">
        <v>81.679445435074001</v>
      </c>
      <c r="F107" s="66">
        <v>2.0424108841318791</v>
      </c>
      <c r="G107" s="9" t="s">
        <v>565</v>
      </c>
      <c r="H107" s="9" t="s">
        <v>566</v>
      </c>
      <c r="AH107" s="2">
        <v>2060</v>
      </c>
      <c r="AI107" s="2">
        <v>8.9999999999999993E-3</v>
      </c>
      <c r="AJ107" s="2" t="s">
        <v>520</v>
      </c>
    </row>
    <row r="108" spans="1:36">
      <c r="AH108" s="2">
        <v>2061</v>
      </c>
      <c r="AI108" s="2">
        <v>8.9999999999999993E-3</v>
      </c>
      <c r="AJ108" s="2" t="s">
        <v>520</v>
      </c>
    </row>
    <row r="109" spans="1:36">
      <c r="AH109" s="2">
        <v>2062</v>
      </c>
      <c r="AI109" s="2">
        <v>8.9999999999999993E-3</v>
      </c>
      <c r="AJ109" s="2" t="s">
        <v>520</v>
      </c>
    </row>
    <row r="110" spans="1:36" ht="15.75" thickBot="1">
      <c r="B110" s="5" t="s">
        <v>567</v>
      </c>
      <c r="AH110" s="2">
        <v>2063</v>
      </c>
      <c r="AI110" s="2">
        <v>8.9999999999999993E-3</v>
      </c>
      <c r="AJ110" s="2" t="s">
        <v>520</v>
      </c>
    </row>
    <row r="111" spans="1:36" ht="19.5" customHeight="1" thickTop="1">
      <c r="B111" s="107" t="s">
        <v>568</v>
      </c>
      <c r="C111" s="118" t="s">
        <v>569</v>
      </c>
      <c r="D111" s="108"/>
      <c r="E111" s="108"/>
      <c r="F111" s="108"/>
      <c r="G111" s="108"/>
      <c r="H111" s="108"/>
      <c r="I111" s="109"/>
      <c r="AH111" s="2">
        <v>2064</v>
      </c>
      <c r="AI111" s="2">
        <v>8.9999999999999993E-3</v>
      </c>
      <c r="AJ111" s="2" t="s">
        <v>520</v>
      </c>
    </row>
    <row r="112" spans="1:36" ht="15">
      <c r="B112" s="110"/>
      <c r="C112" s="115" t="s">
        <v>232</v>
      </c>
      <c r="D112" s="116" t="s">
        <v>233</v>
      </c>
      <c r="E112" s="116" t="s">
        <v>234</v>
      </c>
      <c r="F112" s="116" t="s">
        <v>235</v>
      </c>
      <c r="G112" s="116" t="s">
        <v>236</v>
      </c>
      <c r="H112" s="116" t="s">
        <v>237</v>
      </c>
      <c r="I112" s="117" t="s">
        <v>570</v>
      </c>
      <c r="AH112" s="2">
        <v>2065</v>
      </c>
      <c r="AI112" s="2">
        <v>8.9999999999999993E-3</v>
      </c>
      <c r="AJ112" s="2" t="s">
        <v>520</v>
      </c>
    </row>
    <row r="113" spans="1:79" ht="36.75" thickBot="1">
      <c r="B113" s="111"/>
      <c r="C113" s="112" t="s">
        <v>571</v>
      </c>
      <c r="D113" s="113" t="s">
        <v>571</v>
      </c>
      <c r="E113" s="113" t="s">
        <v>571</v>
      </c>
      <c r="F113" s="113" t="s">
        <v>571</v>
      </c>
      <c r="G113" s="113" t="s">
        <v>571</v>
      </c>
      <c r="H113" s="113" t="s">
        <v>571</v>
      </c>
      <c r="I113" s="114" t="s">
        <v>572</v>
      </c>
      <c r="AH113" s="2">
        <v>2066</v>
      </c>
      <c r="AI113" s="2">
        <v>8.9999999999999993E-3</v>
      </c>
      <c r="AJ113" s="2" t="s">
        <v>520</v>
      </c>
    </row>
    <row r="114" spans="1:79">
      <c r="A114" s="106" t="s">
        <v>243</v>
      </c>
      <c r="B114" s="83" t="s">
        <v>412</v>
      </c>
      <c r="C114" s="84">
        <v>95</v>
      </c>
      <c r="D114" s="85">
        <v>120</v>
      </c>
      <c r="E114" s="85">
        <v>145</v>
      </c>
      <c r="F114" s="85">
        <v>175</v>
      </c>
      <c r="G114" s="85">
        <v>205</v>
      </c>
      <c r="H114" s="85">
        <v>250</v>
      </c>
      <c r="I114" s="425" t="s">
        <v>573</v>
      </c>
      <c r="AH114" s="2">
        <v>2067</v>
      </c>
      <c r="AI114" s="2">
        <v>8.9999999999999993E-3</v>
      </c>
      <c r="AJ114" s="2" t="s">
        <v>520</v>
      </c>
    </row>
    <row r="115" spans="1:79">
      <c r="A115" s="106"/>
      <c r="B115" s="86" t="s">
        <v>574</v>
      </c>
      <c r="C115" s="87" t="s">
        <v>575</v>
      </c>
      <c r="D115" s="88" t="s">
        <v>576</v>
      </c>
      <c r="E115" s="88" t="s">
        <v>577</v>
      </c>
      <c r="F115" s="88" t="s">
        <v>578</v>
      </c>
      <c r="G115" s="88" t="s">
        <v>579</v>
      </c>
      <c r="H115" s="88" t="s">
        <v>580</v>
      </c>
      <c r="I115" s="426"/>
      <c r="AH115" s="2">
        <v>2068</v>
      </c>
      <c r="AI115" s="2">
        <v>8.9999999999999993E-3</v>
      </c>
      <c r="AJ115" s="2" t="s">
        <v>520</v>
      </c>
      <c r="BX115" s="2" t="s">
        <v>530</v>
      </c>
    </row>
    <row r="116" spans="1:79" ht="15">
      <c r="A116" s="106" t="s">
        <v>185</v>
      </c>
      <c r="B116" s="89" t="s">
        <v>581</v>
      </c>
      <c r="C116" s="90">
        <v>85</v>
      </c>
      <c r="D116" s="91">
        <v>95</v>
      </c>
      <c r="E116" s="91">
        <v>110</v>
      </c>
      <c r="F116" s="91">
        <v>135</v>
      </c>
      <c r="G116" s="91">
        <v>160</v>
      </c>
      <c r="H116" s="91">
        <v>200</v>
      </c>
      <c r="I116" s="427" t="s">
        <v>573</v>
      </c>
      <c r="AH116" s="2">
        <v>2069</v>
      </c>
      <c r="AI116" s="2">
        <v>8.9999999999999993E-3</v>
      </c>
      <c r="AJ116" s="2" t="s">
        <v>520</v>
      </c>
      <c r="BX116" s="2" t="s">
        <v>531</v>
      </c>
      <c r="BY116" s="135">
        <v>0.10462896495714274</v>
      </c>
      <c r="BZ116" s="2" t="s">
        <v>520</v>
      </c>
      <c r="CA116" s="2" t="s">
        <v>532</v>
      </c>
    </row>
    <row r="117" spans="1:79" ht="15">
      <c r="A117" s="106"/>
      <c r="B117" s="86" t="s">
        <v>582</v>
      </c>
      <c r="C117" s="87" t="s">
        <v>583</v>
      </c>
      <c r="D117" s="88" t="s">
        <v>584</v>
      </c>
      <c r="E117" s="88" t="s">
        <v>585</v>
      </c>
      <c r="F117" s="88" t="s">
        <v>586</v>
      </c>
      <c r="G117" s="88" t="s">
        <v>587</v>
      </c>
      <c r="H117" s="88" t="s">
        <v>588</v>
      </c>
      <c r="I117" s="426"/>
      <c r="AH117" s="2">
        <v>2070</v>
      </c>
      <c r="AI117" s="2">
        <v>8.9999999999999993E-3</v>
      </c>
      <c r="AJ117" s="2" t="s">
        <v>520</v>
      </c>
      <c r="BX117" s="2" t="s">
        <v>533</v>
      </c>
      <c r="BY117" s="135">
        <v>1.7747665114285747E-2</v>
      </c>
      <c r="BZ117" s="2" t="s">
        <v>520</v>
      </c>
      <c r="CA117" s="2" t="s">
        <v>534</v>
      </c>
    </row>
    <row r="118" spans="1:79" ht="15">
      <c r="A118" s="106" t="s">
        <v>254</v>
      </c>
      <c r="B118" s="92" t="s">
        <v>254</v>
      </c>
      <c r="C118" s="93">
        <v>85</v>
      </c>
      <c r="D118" s="94">
        <v>115</v>
      </c>
      <c r="E118" s="94">
        <v>145</v>
      </c>
      <c r="F118" s="94">
        <v>180</v>
      </c>
      <c r="G118" s="94">
        <v>220</v>
      </c>
      <c r="H118" s="94">
        <v>275</v>
      </c>
      <c r="I118" s="95" t="s">
        <v>589</v>
      </c>
      <c r="AH118" s="2">
        <v>2071</v>
      </c>
      <c r="AI118" s="2">
        <v>8.9999999999999993E-3</v>
      </c>
      <c r="AJ118" s="2" t="s">
        <v>520</v>
      </c>
      <c r="BX118" s="2" t="s">
        <v>535</v>
      </c>
      <c r="BY118" s="135">
        <v>2.4147521285714301E-2</v>
      </c>
      <c r="BZ118" s="2" t="s">
        <v>520</v>
      </c>
    </row>
    <row r="119" spans="1:79" ht="15">
      <c r="A119" s="106" t="s">
        <v>183</v>
      </c>
      <c r="B119" s="92" t="s">
        <v>590</v>
      </c>
      <c r="C119" s="93">
        <v>90</v>
      </c>
      <c r="D119" s="94">
        <v>115</v>
      </c>
      <c r="E119" s="94">
        <v>145</v>
      </c>
      <c r="F119" s="94">
        <v>180</v>
      </c>
      <c r="G119" s="94">
        <v>220</v>
      </c>
      <c r="H119" s="94">
        <v>275</v>
      </c>
      <c r="I119" s="95" t="s">
        <v>589</v>
      </c>
      <c r="AH119" s="2">
        <v>2072</v>
      </c>
      <c r="AI119" s="2">
        <v>8.9999999999999993E-3</v>
      </c>
      <c r="AJ119" s="2" t="s">
        <v>520</v>
      </c>
      <c r="BY119" s="135"/>
    </row>
    <row r="120" spans="1:79" ht="15">
      <c r="A120" s="106" t="s">
        <v>262</v>
      </c>
      <c r="B120" s="92" t="s">
        <v>591</v>
      </c>
      <c r="C120" s="93">
        <v>75</v>
      </c>
      <c r="D120" s="94">
        <v>105</v>
      </c>
      <c r="E120" s="94">
        <v>135</v>
      </c>
      <c r="F120" s="94">
        <v>175</v>
      </c>
      <c r="G120" s="94">
        <v>220</v>
      </c>
      <c r="H120" s="94">
        <v>280</v>
      </c>
      <c r="I120" s="95" t="s">
        <v>589</v>
      </c>
      <c r="AH120" s="2">
        <v>2073</v>
      </c>
      <c r="AI120" s="2">
        <v>8.9999999999999993E-3</v>
      </c>
      <c r="AJ120" s="2" t="s">
        <v>520</v>
      </c>
      <c r="BX120" s="2" t="s">
        <v>536</v>
      </c>
      <c r="BY120" s="135">
        <v>3.8751119274583641E-2</v>
      </c>
      <c r="BZ120" s="2" t="s">
        <v>537</v>
      </c>
    </row>
    <row r="121" spans="1:79" ht="15">
      <c r="A121" s="106" t="s">
        <v>267</v>
      </c>
      <c r="B121" s="92" t="s">
        <v>267</v>
      </c>
      <c r="C121" s="93">
        <v>145</v>
      </c>
      <c r="D121" s="94">
        <v>195</v>
      </c>
      <c r="E121" s="94">
        <v>240</v>
      </c>
      <c r="F121" s="94">
        <v>295</v>
      </c>
      <c r="G121" s="94">
        <v>355</v>
      </c>
      <c r="H121" s="94">
        <v>440</v>
      </c>
      <c r="I121" s="95" t="s">
        <v>589</v>
      </c>
      <c r="AH121" s="2">
        <v>2074</v>
      </c>
      <c r="AI121" s="2">
        <v>8.9999999999999993E-3</v>
      </c>
      <c r="AJ121" s="2" t="s">
        <v>520</v>
      </c>
      <c r="BX121" s="2" t="s">
        <v>538</v>
      </c>
      <c r="BY121" s="135">
        <v>8.9146230660722248E-2</v>
      </c>
      <c r="BZ121" s="2" t="s">
        <v>537</v>
      </c>
    </row>
    <row r="122" spans="1:79" ht="15">
      <c r="A122" s="106" t="s">
        <v>272</v>
      </c>
      <c r="B122" s="92" t="s">
        <v>272</v>
      </c>
      <c r="C122" s="93">
        <v>140</v>
      </c>
      <c r="D122" s="94">
        <v>190</v>
      </c>
      <c r="E122" s="94">
        <v>240</v>
      </c>
      <c r="F122" s="94">
        <v>290</v>
      </c>
      <c r="G122" s="94">
        <v>340</v>
      </c>
      <c r="H122" s="94">
        <v>415</v>
      </c>
      <c r="I122" s="95" t="s">
        <v>589</v>
      </c>
      <c r="AH122" s="2">
        <v>2075</v>
      </c>
      <c r="AI122" s="2">
        <v>8.9999999999999993E-3</v>
      </c>
      <c r="AJ122" s="2" t="s">
        <v>520</v>
      </c>
      <c r="BY122" s="135"/>
    </row>
    <row r="123" spans="1:79" ht="15">
      <c r="A123" s="106" t="s">
        <v>276</v>
      </c>
      <c r="B123" s="92" t="s">
        <v>276</v>
      </c>
      <c r="C123" s="93">
        <v>125</v>
      </c>
      <c r="D123" s="94">
        <v>165</v>
      </c>
      <c r="E123" s="94">
        <v>205</v>
      </c>
      <c r="F123" s="94">
        <v>275</v>
      </c>
      <c r="G123" s="94">
        <v>345</v>
      </c>
      <c r="H123" s="94">
        <v>440</v>
      </c>
      <c r="I123" s="95" t="s">
        <v>589</v>
      </c>
      <c r="AH123" s="2">
        <v>2076</v>
      </c>
      <c r="AI123" s="2">
        <v>8.9999999999999993E-3</v>
      </c>
      <c r="AJ123" s="2" t="s">
        <v>520</v>
      </c>
      <c r="BX123" s="2" t="s">
        <v>539</v>
      </c>
      <c r="BY123" s="135">
        <v>1.4693376033679371E-2</v>
      </c>
      <c r="BZ123" s="2" t="s">
        <v>537</v>
      </c>
    </row>
    <row r="124" spans="1:79" ht="15">
      <c r="A124" s="106" t="s">
        <v>279</v>
      </c>
      <c r="B124" s="92" t="s">
        <v>592</v>
      </c>
      <c r="C124" s="93">
        <v>115</v>
      </c>
      <c r="D124" s="94">
        <v>160</v>
      </c>
      <c r="E124" s="94">
        <v>210</v>
      </c>
      <c r="F124" s="94">
        <v>255</v>
      </c>
      <c r="G124" s="94">
        <v>300</v>
      </c>
      <c r="H124" s="94">
        <v>375</v>
      </c>
      <c r="I124" s="95" t="s">
        <v>589</v>
      </c>
      <c r="AH124" s="2">
        <v>2077</v>
      </c>
      <c r="AI124" s="2">
        <v>8.9999999999999993E-3</v>
      </c>
      <c r="AJ124" s="2" t="s">
        <v>520</v>
      </c>
      <c r="BX124" s="2" t="s">
        <v>540</v>
      </c>
      <c r="BY124" s="135">
        <v>6.5088487419817986E-2</v>
      </c>
      <c r="BZ124" s="2" t="s">
        <v>537</v>
      </c>
    </row>
    <row r="125" spans="1:79">
      <c r="A125" s="106" t="s">
        <v>280</v>
      </c>
      <c r="B125" s="92" t="s">
        <v>280</v>
      </c>
      <c r="C125" s="93">
        <v>95</v>
      </c>
      <c r="D125" s="94">
        <v>135</v>
      </c>
      <c r="E125" s="94">
        <v>175</v>
      </c>
      <c r="F125" s="94">
        <v>215</v>
      </c>
      <c r="G125" s="94">
        <v>255</v>
      </c>
      <c r="H125" s="94">
        <v>320</v>
      </c>
      <c r="I125" s="95" t="s">
        <v>589</v>
      </c>
      <c r="AH125" s="2">
        <v>2078</v>
      </c>
      <c r="AI125" s="2">
        <v>8.9999999999999993E-3</v>
      </c>
      <c r="AJ125" s="2" t="s">
        <v>520</v>
      </c>
    </row>
    <row r="126" spans="1:79" ht="15" thickBot="1">
      <c r="A126" s="106" t="s">
        <v>286</v>
      </c>
      <c r="B126" s="96" t="s">
        <v>593</v>
      </c>
      <c r="C126" s="97">
        <v>105</v>
      </c>
      <c r="D126" s="98">
        <v>145</v>
      </c>
      <c r="E126" s="98">
        <v>185</v>
      </c>
      <c r="F126" s="98">
        <v>250</v>
      </c>
      <c r="G126" s="98">
        <v>315</v>
      </c>
      <c r="H126" s="98">
        <v>405</v>
      </c>
      <c r="I126" s="99" t="s">
        <v>589</v>
      </c>
    </row>
    <row r="127" spans="1:79" ht="15" thickTop="1"/>
    <row r="131" spans="2:7" ht="23.25">
      <c r="B131" s="120" t="s">
        <v>594</v>
      </c>
    </row>
    <row r="132" spans="2:7">
      <c r="B132" s="103" t="s">
        <v>595</v>
      </c>
      <c r="C132" s="103" t="s">
        <v>596</v>
      </c>
      <c r="D132" s="103"/>
      <c r="E132" s="103"/>
    </row>
    <row r="133" spans="2:7" ht="28.5">
      <c r="B133" s="125" t="s">
        <v>597</v>
      </c>
      <c r="C133" s="13">
        <v>-7.5</v>
      </c>
      <c r="D133" s="13" t="s">
        <v>598</v>
      </c>
      <c r="E133" s="125" t="s">
        <v>599</v>
      </c>
    </row>
    <row r="134" spans="2:7" ht="42.75">
      <c r="B134" s="125" t="s">
        <v>600</v>
      </c>
      <c r="C134" s="13">
        <v>-8.4</v>
      </c>
      <c r="D134" s="13" t="s">
        <v>598</v>
      </c>
      <c r="E134" s="125" t="s">
        <v>599</v>
      </c>
    </row>
    <row r="135" spans="2:7" ht="28.5">
      <c r="B135" s="9" t="s">
        <v>324</v>
      </c>
      <c r="C135" s="9">
        <v>-5.5</v>
      </c>
      <c r="D135" s="9" t="s">
        <v>598</v>
      </c>
      <c r="E135" s="15" t="s">
        <v>599</v>
      </c>
    </row>
    <row r="136" spans="2:7">
      <c r="B136" s="9" t="s">
        <v>601</v>
      </c>
      <c r="C136" s="119">
        <f>(-(0.18+0.41)/2)*20</f>
        <v>-5.8999999999999995</v>
      </c>
      <c r="D136" s="9" t="s">
        <v>598</v>
      </c>
      <c r="E136" s="15" t="s">
        <v>602</v>
      </c>
      <c r="G136" s="121"/>
    </row>
    <row r="137" spans="2:7" ht="42.75">
      <c r="B137" s="9" t="s">
        <v>603</v>
      </c>
      <c r="C137" s="119">
        <f>(-(0.18+0.41)/2)*20</f>
        <v>-5.8999999999999995</v>
      </c>
      <c r="D137" s="9" t="s">
        <v>598</v>
      </c>
      <c r="E137" s="15" t="s">
        <v>604</v>
      </c>
    </row>
    <row r="139" spans="2:7">
      <c r="B139" s="103" t="s">
        <v>605</v>
      </c>
      <c r="C139" s="103"/>
      <c r="D139" s="103"/>
      <c r="E139" s="103"/>
    </row>
    <row r="140" spans="2:7">
      <c r="B140" s="9" t="s">
        <v>328</v>
      </c>
      <c r="C140" s="66">
        <f>-1134.7</f>
        <v>-1134.7</v>
      </c>
      <c r="D140" s="9" t="s">
        <v>606</v>
      </c>
      <c r="E140" s="418" t="s">
        <v>607</v>
      </c>
    </row>
    <row r="141" spans="2:7">
      <c r="B141" s="9" t="s">
        <v>329</v>
      </c>
      <c r="C141" s="66">
        <f>-301.5</f>
        <v>-301.5</v>
      </c>
      <c r="D141" s="9" t="s">
        <v>606</v>
      </c>
      <c r="E141" s="419"/>
    </row>
    <row r="142" spans="2:7">
      <c r="B142" s="9" t="s">
        <v>331</v>
      </c>
      <c r="C142" s="66">
        <f>-437.5</f>
        <v>-437.5</v>
      </c>
      <c r="D142" s="9" t="s">
        <v>606</v>
      </c>
      <c r="E142" s="420"/>
    </row>
    <row r="145" spans="2:7">
      <c r="B145" s="103" t="s">
        <v>608</v>
      </c>
      <c r="C145" s="103"/>
      <c r="D145" s="103"/>
      <c r="E145" s="103"/>
      <c r="G145" s="122"/>
    </row>
    <row r="146" spans="2:7">
      <c r="B146" s="9" t="s">
        <v>298</v>
      </c>
      <c r="C146" s="9">
        <v>60</v>
      </c>
      <c r="D146" s="9" t="s">
        <v>598</v>
      </c>
      <c r="E146" s="421" t="s">
        <v>609</v>
      </c>
    </row>
    <row r="147" spans="2:7">
      <c r="B147" s="9" t="s">
        <v>301</v>
      </c>
      <c r="C147" s="9">
        <v>71</v>
      </c>
      <c r="D147" s="9" t="s">
        <v>598</v>
      </c>
      <c r="E147" s="422"/>
    </row>
    <row r="148" spans="2:7">
      <c r="B148" s="9" t="s">
        <v>610</v>
      </c>
      <c r="C148" s="9">
        <v>84</v>
      </c>
      <c r="D148" s="9" t="s">
        <v>598</v>
      </c>
      <c r="E148" s="422"/>
    </row>
    <row r="149" spans="2:7">
      <c r="B149" s="9" t="s">
        <v>306</v>
      </c>
      <c r="C149" s="9">
        <v>337</v>
      </c>
      <c r="D149" s="9" t="s">
        <v>598</v>
      </c>
      <c r="E149" s="423"/>
    </row>
  </sheetData>
  <sheetProtection algorithmName="SHA-512" hashValue="xjJQrZsZTgsYVhDe6KQBNtWx9MF57802c/UaGiKohYrA5bgIbZwlYSWP43qBD0RgpplucI79IjJCOEfzE8s64A==" saltValue="bBgBXLvzJ21KhGqxHopmyA==" spinCount="100000" sheet="1" objects="1" scenarios="1"/>
  <mergeCells count="12">
    <mergeCell ref="E146:E149"/>
    <mergeCell ref="AX59:BB59"/>
    <mergeCell ref="I114:I115"/>
    <mergeCell ref="I116:I117"/>
    <mergeCell ref="B18:G18"/>
    <mergeCell ref="K18:P18"/>
    <mergeCell ref="B52:G52"/>
    <mergeCell ref="A66:A73"/>
    <mergeCell ref="A95:A101"/>
    <mergeCell ref="C89:D89"/>
    <mergeCell ref="BJ18:BO18"/>
    <mergeCell ref="E140:E142"/>
  </mergeCells>
  <pageMargins left="0.7" right="0.7" top="0.75" bottom="0.75" header="0.3" footer="0.3"/>
  <pageSetup paperSize="9" scale="38" fitToHeight="0" orientation="portrait" verticalDpi="0" r:id="rId1"/>
  <rowBreaks count="1" manualBreakCount="1">
    <brk id="130" max="16383"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6108A-0728-43CB-BC7E-C611C9126737}">
  <sheetPr codeName="Sheet2">
    <pageSetUpPr fitToPage="1"/>
  </sheetPr>
  <dimension ref="A1:AV136"/>
  <sheetViews>
    <sheetView showGridLines="0" zoomScaleNormal="100" workbookViewId="0">
      <selection activeCell="N95" sqref="N95"/>
    </sheetView>
  </sheetViews>
  <sheetFormatPr defaultColWidth="9.140625" defaultRowHeight="14.25"/>
  <cols>
    <col min="1" max="1" width="5.7109375" style="2" customWidth="1"/>
    <col min="2" max="2" width="3.42578125" style="2" customWidth="1"/>
    <col min="3" max="3" width="66.85546875" style="2" customWidth="1"/>
    <col min="4" max="4" width="17.7109375" style="2" customWidth="1"/>
    <col min="5" max="5" width="14.5703125" style="2" bestFit="1" customWidth="1"/>
    <col min="6" max="6" width="15.5703125" style="2" bestFit="1" customWidth="1"/>
    <col min="7" max="7" width="14.5703125" style="2" bestFit="1" customWidth="1"/>
    <col min="8" max="8" width="15.5703125" style="2" bestFit="1" customWidth="1"/>
    <col min="9" max="9" width="14.42578125" style="2" customWidth="1"/>
    <col min="10" max="10" width="15.5703125" style="2" bestFit="1" customWidth="1"/>
    <col min="11" max="11" width="14.5703125" style="2" bestFit="1" customWidth="1"/>
    <col min="12" max="12" width="15.5703125" style="2" bestFit="1" customWidth="1"/>
    <col min="13" max="13" width="14.5703125" style="2" bestFit="1" customWidth="1"/>
    <col min="14" max="15" width="9.140625" style="2" customWidth="1"/>
    <col min="16" max="16" width="9.85546875" style="2" hidden="1" customWidth="1"/>
    <col min="17" max="23" width="9.140625" style="2" hidden="1" customWidth="1"/>
    <col min="24" max="24" width="20.42578125" style="2" hidden="1" customWidth="1"/>
    <col min="25" max="36" width="9.140625" style="2" hidden="1" customWidth="1"/>
    <col min="37" max="38" width="10" style="2" hidden="1" customWidth="1"/>
    <col min="39" max="39" width="11.42578125" style="2" hidden="1" customWidth="1"/>
    <col min="40" max="40" width="11.5703125" style="2" hidden="1" customWidth="1"/>
    <col min="41" max="41" width="10.85546875" style="2" hidden="1" customWidth="1"/>
    <col min="42" max="48" width="9.140625" style="2" hidden="1" customWidth="1"/>
    <col min="49" max="79" width="0" style="2" hidden="1" customWidth="1"/>
    <col min="80" max="16384" width="9.140625" style="2"/>
  </cols>
  <sheetData>
    <row r="1" spans="1:33">
      <c r="P1" s="63"/>
      <c r="Q1" s="63"/>
      <c r="R1" s="63"/>
      <c r="S1" s="63"/>
      <c r="T1" s="63"/>
      <c r="U1" s="63"/>
      <c r="V1" s="63"/>
      <c r="W1" s="63" t="s">
        <v>144</v>
      </c>
      <c r="X1" s="63"/>
      <c r="Y1" s="63"/>
      <c r="Z1" s="63"/>
      <c r="AA1" s="63"/>
      <c r="AB1" s="63"/>
      <c r="AC1" s="63"/>
      <c r="AD1" s="63"/>
      <c r="AE1" s="63"/>
      <c r="AF1" s="63"/>
      <c r="AG1" s="63"/>
    </row>
    <row r="2" spans="1:33" ht="25.5">
      <c r="C2" s="53" t="s">
        <v>15</v>
      </c>
    </row>
    <row r="3" spans="1:33">
      <c r="A3" s="6"/>
      <c r="C3" s="2" t="s">
        <v>16</v>
      </c>
    </row>
    <row r="4" spans="1:33">
      <c r="A4" s="6"/>
      <c r="C4" s="6"/>
    </row>
    <row r="5" spans="1:33" ht="57.6" customHeight="1">
      <c r="A5" s="6"/>
      <c r="C5" s="279" t="s">
        <v>17</v>
      </c>
      <c r="D5" s="279"/>
      <c r="E5" s="279"/>
      <c r="F5" s="279"/>
      <c r="G5" s="279"/>
      <c r="H5" s="279"/>
    </row>
    <row r="6" spans="1:33">
      <c r="A6" s="6"/>
    </row>
    <row r="7" spans="1:33">
      <c r="A7" s="6"/>
      <c r="C7" s="2" t="s">
        <v>18</v>
      </c>
    </row>
    <row r="8" spans="1:33">
      <c r="A8" s="6"/>
    </row>
    <row r="9" spans="1:33">
      <c r="A9" s="6"/>
    </row>
    <row r="10" spans="1:33" ht="25.5">
      <c r="A10" s="6"/>
      <c r="C10" s="53" t="s">
        <v>19</v>
      </c>
      <c r="N10" s="12"/>
      <c r="X10" s="9" t="s">
        <v>20</v>
      </c>
      <c r="Y10" s="9" t="str">
        <f>'Generelt om prosjektet'!C21</f>
        <v>Velg antall</v>
      </c>
    </row>
    <row r="11" spans="1:33">
      <c r="A11" s="6"/>
      <c r="C11" s="19" t="str">
        <f>"Utslipp i tabellen er i tonn CO2 ekv, "&amp;VLOOKUP('Generelt om prosjektet'!C25,'Generelt om prosjektet'!W25:X28,2,FALSE)&amp;". Klimagassutslipp for materialer, anleggsfase og energi er oppgit uten hensyn til binding av biogent karbon. Klimagassutslipp fra arealbruksendringer (A5, B1) er utslipp og opptak av biogent karbon. GWP står for Global Warming Potential. "</f>
        <v xml:space="preserve">Utslipp i tabellen er i tonn CO2 ekv, GWP. Klimagassutslipp for materialer, anleggsfase og energi er oppgit uten hensyn til binding av biogent karbon. Klimagassutslipp fra arealbruksendringer (A5, B1) er utslipp og opptak av biogent karbon. GWP står for Global Warming Potential. </v>
      </c>
      <c r="Z11" s="2">
        <f>IF(Y10&gt;1,1,0)</f>
        <v>1</v>
      </c>
      <c r="AA11" s="2">
        <f>IF(Y10&gt;2,1,0)</f>
        <v>1</v>
      </c>
      <c r="AB11" s="2">
        <f>IF(Y10&gt;3,1,0)</f>
        <v>1</v>
      </c>
      <c r="AC11" s="2">
        <f>IF(Y10&gt;4,1,0)</f>
        <v>1</v>
      </c>
    </row>
    <row r="12" spans="1:33">
      <c r="A12" s="6"/>
      <c r="B12" s="23"/>
      <c r="C12" s="23"/>
      <c r="D12" s="23"/>
      <c r="E12" s="23"/>
      <c r="F12" s="23"/>
      <c r="G12" s="23"/>
      <c r="H12" s="23"/>
      <c r="I12" s="23"/>
      <c r="J12" s="23"/>
      <c r="K12" s="23"/>
      <c r="L12" s="23"/>
      <c r="M12" s="23"/>
      <c r="N12" s="123"/>
      <c r="O12" s="27"/>
    </row>
    <row r="13" spans="1:33">
      <c r="B13" s="23"/>
      <c r="C13" s="34" t="s">
        <v>21</v>
      </c>
      <c r="D13" s="291" t="s">
        <v>22</v>
      </c>
      <c r="E13" s="291"/>
      <c r="F13" s="294" t="s">
        <v>23</v>
      </c>
      <c r="G13" s="292"/>
      <c r="H13" s="293" t="s">
        <v>24</v>
      </c>
      <c r="I13" s="293"/>
      <c r="J13" s="283" t="s">
        <v>25</v>
      </c>
      <c r="K13" s="283"/>
      <c r="L13" s="285" t="s">
        <v>26</v>
      </c>
      <c r="M13" s="285"/>
      <c r="N13" s="27"/>
      <c r="O13" s="27"/>
      <c r="Q13" s="2" t="s">
        <v>27</v>
      </c>
    </row>
    <row r="14" spans="1:33" ht="15">
      <c r="B14" s="23"/>
      <c r="C14" s="57" t="s">
        <v>28</v>
      </c>
      <c r="D14" s="30" t="s">
        <v>29</v>
      </c>
      <c r="E14" s="30" t="s">
        <v>30</v>
      </c>
      <c r="F14" s="58" t="s">
        <v>29</v>
      </c>
      <c r="G14" s="58" t="s">
        <v>30</v>
      </c>
      <c r="H14" s="30" t="s">
        <v>29</v>
      </c>
      <c r="I14" s="30" t="s">
        <v>30</v>
      </c>
      <c r="J14" s="30" t="s">
        <v>29</v>
      </c>
      <c r="K14" s="30" t="s">
        <v>30</v>
      </c>
      <c r="L14" s="30" t="s">
        <v>29</v>
      </c>
      <c r="M14" s="30" t="s">
        <v>30</v>
      </c>
      <c r="N14" s="27"/>
      <c r="O14" s="27"/>
      <c r="Q14" s="2">
        <v>1</v>
      </c>
      <c r="R14" s="2">
        <v>2</v>
      </c>
      <c r="S14" s="2">
        <v>3</v>
      </c>
      <c r="T14" s="2">
        <v>4</v>
      </c>
      <c r="U14" s="2">
        <v>5</v>
      </c>
      <c r="X14" s="5" t="str">
        <f>"Resultat, tonn CO2 ekv, "&amp;'Generelt om prosjektet'!C24&amp;" år"</f>
        <v>Resultat, tonn CO2 ekv, 50 år</v>
      </c>
      <c r="AE14" s="5" t="s">
        <v>31</v>
      </c>
    </row>
    <row r="15" spans="1:33">
      <c r="A15" s="6"/>
      <c r="B15" s="23"/>
      <c r="C15" s="32" t="s">
        <v>32</v>
      </c>
      <c r="D15" s="31">
        <f>('Alternativ 1'!$G$80)</f>
        <v>0</v>
      </c>
      <c r="E15" s="52">
        <f>'Alternativ 1'!H80</f>
        <v>0</v>
      </c>
      <c r="F15" s="31">
        <f>('Alternativ 2'!G80)</f>
        <v>0</v>
      </c>
      <c r="G15" s="52">
        <f>IF(Z11=0,"",'Alternativ 2'!H80)</f>
        <v>0</v>
      </c>
      <c r="H15" s="31">
        <f>('Alternativ 3'!G80)</f>
        <v>0</v>
      </c>
      <c r="I15" s="52">
        <f>IF(AA11=0,"",'Alternativ 3'!H80)</f>
        <v>0</v>
      </c>
      <c r="J15" s="31">
        <f>('Alternativ 4'!G80)</f>
        <v>0</v>
      </c>
      <c r="K15" s="52">
        <f>IF(AB11=0,"",'Alternativ 4'!H80)</f>
        <v>0</v>
      </c>
      <c r="L15" s="31">
        <f>('Alternativ 5'!G80)</f>
        <v>0</v>
      </c>
      <c r="M15" s="52">
        <f>IF(AC11=0,"",'Alternativ 5'!H80)</f>
        <v>0</v>
      </c>
      <c r="N15" s="27"/>
      <c r="O15" s="27"/>
      <c r="X15" s="9"/>
      <c r="Y15" s="9" t="s">
        <v>22</v>
      </c>
      <c r="Z15" s="9" t="str">
        <f>IF($Z$11=0,"","Alternativ 2")</f>
        <v>Alternativ 2</v>
      </c>
      <c r="AA15" s="9" t="str">
        <f>IF($AA$11=0,"","Alternativ 3")</f>
        <v>Alternativ 3</v>
      </c>
      <c r="AB15" s="9" t="str">
        <f>IF($AB$11=0,"","Alternativ 4")</f>
        <v>Alternativ 4</v>
      </c>
      <c r="AC15" s="9" t="str">
        <f>IF($AC$11=0,"","Alternativ 5")</f>
        <v>Alternativ 5</v>
      </c>
    </row>
    <row r="16" spans="1:33">
      <c r="A16" s="6"/>
      <c r="B16" s="23"/>
      <c r="C16" s="32" t="s">
        <v>33</v>
      </c>
      <c r="D16" s="31">
        <f>('Alternativ 1'!$G$81)</f>
        <v>0</v>
      </c>
      <c r="E16" s="21">
        <f>'Alternativ 1'!H81</f>
        <v>1</v>
      </c>
      <c r="F16" s="31">
        <f>('Alternativ 2'!G81)</f>
        <v>0</v>
      </c>
      <c r="G16" s="21">
        <f>IF(Z11=0,"",'Alternativ 2'!H81)</f>
        <v>1</v>
      </c>
      <c r="H16" s="31">
        <f>('Alternativ 3'!G81)</f>
        <v>0</v>
      </c>
      <c r="I16" s="21">
        <f>IF(AA11=0,"",'Alternativ 3'!H81)</f>
        <v>1</v>
      </c>
      <c r="J16" s="31">
        <f>('Alternativ 4'!G81)</f>
        <v>0</v>
      </c>
      <c r="K16" s="21">
        <f>IF(AB11=0,"",'Alternativ 4'!H81)</f>
        <v>1</v>
      </c>
      <c r="L16" s="31">
        <f>('Alternativ 5'!G81)</f>
        <v>0</v>
      </c>
      <c r="M16" s="21">
        <f>IF(AC11=0,"",'Alternativ 5'!H81)</f>
        <v>1</v>
      </c>
      <c r="N16" s="27"/>
      <c r="O16" s="27"/>
      <c r="W16" s="2" t="s">
        <v>34</v>
      </c>
      <c r="X16" s="13" t="s">
        <v>35</v>
      </c>
      <c r="Y16" s="14">
        <f>D15</f>
        <v>0</v>
      </c>
      <c r="Z16" s="14">
        <f>IF($Z$11=0,"",F15)</f>
        <v>0</v>
      </c>
      <c r="AA16" s="14">
        <f>IF($AA$11=0,"",H15)</f>
        <v>0</v>
      </c>
      <c r="AB16" s="14">
        <f>IF($AB$11=0,"",J15)</f>
        <v>0</v>
      </c>
      <c r="AC16" s="14">
        <f>IF($AC$11=0,"",L15)</f>
        <v>0</v>
      </c>
    </row>
    <row r="17" spans="1:29">
      <c r="A17" s="6"/>
      <c r="B17" s="23"/>
      <c r="C17" s="26" t="s">
        <v>625</v>
      </c>
      <c r="D17" s="31">
        <f>(('Alternativ 1'!$G$82+'Alternativ 1'!$G$83+'Alternativ 1'!$G$89+'Alternativ 1'!$G$92))</f>
        <v>0</v>
      </c>
      <c r="E17" s="21">
        <f>IFERROR(D17/Q17,1)</f>
        <v>1</v>
      </c>
      <c r="F17" s="31">
        <f>(('Alternativ 2'!G82+'Alternativ 2'!G83+'Alternativ 2'!G89+'Alternativ 2'!G92))</f>
        <v>0</v>
      </c>
      <c r="G17" s="21">
        <f>IF(Z11=0,"",IFERROR(F17/R17,1))</f>
        <v>1</v>
      </c>
      <c r="H17" s="31">
        <f>(('Alternativ 3'!G82+'Alternativ 3'!G83+'Alternativ 3'!G89+'Alternativ 3'!G92))</f>
        <v>0</v>
      </c>
      <c r="I17" s="21">
        <f>IF(AA11=0,"",IFERROR(H17/S17,1))</f>
        <v>1</v>
      </c>
      <c r="J17" s="31">
        <f>(('Alternativ 4'!G82+'Alternativ 4'!G83+'Alternativ 4'!G89+'Alternativ 4'!G92))</f>
        <v>0</v>
      </c>
      <c r="K17" s="21">
        <f>IF(AB11=0,"",IFERROR(J17/T17,1))</f>
        <v>1</v>
      </c>
      <c r="L17" s="31">
        <f>(('Alternativ 5'!G82+'Alternativ 5'!G83+'Alternativ 5'!G89+'Alternativ 5'!G92))</f>
        <v>0</v>
      </c>
      <c r="M17" s="21">
        <f>IF(AC11=0,"",IFERROR(L17/U17,1))</f>
        <v>1</v>
      </c>
      <c r="N17" s="27"/>
      <c r="O17" s="27"/>
      <c r="Q17" s="14">
        <f>(('Alternativ 1'!$V$82+'Alternativ 1'!$V$83+'Alternativ 1'!$V$89+'Alternativ 1'!$V$92))</f>
        <v>0</v>
      </c>
      <c r="R17" s="14">
        <f>(('Alternativ 2'!$V$82+'Alternativ 2'!$V$83+'Alternativ 2'!$V$89+'Alternativ 2'!$V$92))</f>
        <v>0</v>
      </c>
      <c r="S17" s="14">
        <f>(('Alternativ 3'!$V$82+'Alternativ 3'!$V$83+'Alternativ 3'!$V$89+'Alternativ 3'!$V$92))</f>
        <v>0</v>
      </c>
      <c r="T17" s="14">
        <f>(('Alternativ 4'!$V$82+'Alternativ 4'!$V$83+'Alternativ 4'!$V$89+'Alternativ 4'!$V$92))</f>
        <v>0</v>
      </c>
      <c r="U17" s="14">
        <f>(('Alternativ 5'!$V$82+'Alternativ 5'!$V$83+'Alternativ 5'!$V$89+'Alternativ 5'!$V$92))</f>
        <v>0</v>
      </c>
      <c r="X17" s="13" t="s">
        <v>37</v>
      </c>
      <c r="Y17" s="14">
        <f>D16+D17</f>
        <v>0</v>
      </c>
      <c r="Z17" s="14">
        <f>IF($Z$11=0,"",F16+F17)</f>
        <v>0</v>
      </c>
      <c r="AA17" s="14">
        <f>IF($AA$11=0,"",H16+H17)</f>
        <v>0</v>
      </c>
      <c r="AB17" s="14">
        <f>IF($AB$11=0,"",J16+J17)</f>
        <v>0</v>
      </c>
      <c r="AC17" s="14">
        <f>IF($AC$11=0,"",L16+L17)</f>
        <v>0</v>
      </c>
    </row>
    <row r="18" spans="1:29">
      <c r="B18" s="23"/>
      <c r="C18" s="26" t="s">
        <v>38</v>
      </c>
      <c r="D18" s="31">
        <f>(('Alternativ 1'!$G$84+'Alternativ 1'!$G$85+'Alternativ 1'!$G$86))</f>
        <v>0</v>
      </c>
      <c r="E18" s="21">
        <f>IFERROR((D18-'Alternativ 1'!G85)/Q18,1)</f>
        <v>1</v>
      </c>
      <c r="F18" s="31">
        <f>(('Alternativ 2'!G84+'Alternativ 2'!G85+'Alternativ 2'!G86))</f>
        <v>0</v>
      </c>
      <c r="G18" s="21">
        <f>IF(Z11=0,"",IFERROR((F18-'Alternativ 2'!G85)/R18,1))</f>
        <v>1</v>
      </c>
      <c r="H18" s="31">
        <f>(('Alternativ 3'!G84+'Alternativ 3'!G85+'Alternativ 3'!G86))</f>
        <v>0</v>
      </c>
      <c r="I18" s="21">
        <f>IF(AA11=0,"",IFERROR((H18-'Alternativ 3'!G85)/S18,1))</f>
        <v>1</v>
      </c>
      <c r="J18" s="31">
        <f>(('Alternativ 4'!G84+'Alternativ 4'!G85+'Alternativ 4'!G86))</f>
        <v>0</v>
      </c>
      <c r="K18" s="21">
        <f>IF(AB11=0,"",IFERROR((J18-'Alternativ 4'!G85)/T18,1))</f>
        <v>1</v>
      </c>
      <c r="L18" s="31">
        <f>(('Alternativ 5'!G84+'Alternativ 5'!G85+'Alternativ 5'!G86))</f>
        <v>0</v>
      </c>
      <c r="M18" s="21">
        <f>IF(AC11=0,"",IFERROR((L18-'Alternativ 5'!G85)/U18,1))</f>
        <v>1</v>
      </c>
      <c r="N18" s="27"/>
      <c r="O18" s="27"/>
      <c r="Q18" s="62">
        <f>(('Alternativ 1'!$V$84+'Alternativ 1'!$V$86))</f>
        <v>0</v>
      </c>
      <c r="R18" s="62">
        <f>(('Alternativ 2'!$V$84+'Alternativ 2'!$V$86))</f>
        <v>0</v>
      </c>
      <c r="S18" s="62">
        <f>(('Alternativ 3'!$V$84+'Alternativ 3'!$V$86))</f>
        <v>0</v>
      </c>
      <c r="T18" s="62">
        <f>(('Alternativ 4'!$V$84+'Alternativ 4'!$V$86))</f>
        <v>0</v>
      </c>
      <c r="U18" s="62">
        <f>(('Alternativ 5'!$V$84+'Alternativ 5'!$V$86))</f>
        <v>0</v>
      </c>
      <c r="X18" s="13" t="s">
        <v>39</v>
      </c>
      <c r="Y18" s="14">
        <f>D18</f>
        <v>0</v>
      </c>
      <c r="Z18" s="14">
        <f>IF($Z$11=0,"",F18)</f>
        <v>0</v>
      </c>
      <c r="AA18" s="14">
        <f>IF($AA$11=0,"",H18)</f>
        <v>0</v>
      </c>
      <c r="AB18" s="14">
        <f>IF($AB$11=0,"",J18)</f>
        <v>0</v>
      </c>
      <c r="AC18" s="14">
        <f>IF($AC$11=0,"",L18)</f>
        <v>0</v>
      </c>
    </row>
    <row r="19" spans="1:29">
      <c r="B19" s="23"/>
      <c r="C19" s="26" t="s">
        <v>40</v>
      </c>
      <c r="D19" s="31">
        <f>('Alternativ 1'!$G$90)</f>
        <v>0</v>
      </c>
      <c r="E19" s="21">
        <f>'Alternativ 1'!H90</f>
        <v>1</v>
      </c>
      <c r="F19" s="31">
        <f>('Alternativ 2'!G90)</f>
        <v>0</v>
      </c>
      <c r="G19" s="21">
        <f>IF(Z11=0,"",'Alternativ 2'!H90)</f>
        <v>1</v>
      </c>
      <c r="H19" s="31">
        <f>('Alternativ 3'!G90)</f>
        <v>0</v>
      </c>
      <c r="I19" s="21">
        <f>IF(AA11=0,"",'Alternativ 3'!H90)</f>
        <v>1</v>
      </c>
      <c r="J19" s="31">
        <f>('Alternativ 4'!G90)</f>
        <v>0</v>
      </c>
      <c r="K19" s="21">
        <f>IF(AB11=0,"",'Alternativ 4'!H90)</f>
        <v>1</v>
      </c>
      <c r="L19" s="31">
        <f>('Alternativ 5'!G90)</f>
        <v>0</v>
      </c>
      <c r="M19" s="21">
        <f>IF(AC11=0,"",'Alternativ 5'!H90)</f>
        <v>1</v>
      </c>
      <c r="N19" s="27"/>
      <c r="O19" s="27"/>
      <c r="X19" s="13" t="s">
        <v>41</v>
      </c>
      <c r="Y19" s="14">
        <f>D19</f>
        <v>0</v>
      </c>
      <c r="Z19" s="14">
        <f>IF($Z$11=0,"",F19)</f>
        <v>0</v>
      </c>
      <c r="AA19" s="14">
        <f>IF($AA$11=0,"",H19)</f>
        <v>0</v>
      </c>
      <c r="AB19" s="14">
        <f>IF($AB$11=0,"",J19)</f>
        <v>0</v>
      </c>
      <c r="AC19" s="14">
        <f>IF($AC$11=0,"",L19)</f>
        <v>0</v>
      </c>
    </row>
    <row r="20" spans="1:29">
      <c r="B20" s="23"/>
      <c r="C20" s="26" t="s">
        <v>42</v>
      </c>
      <c r="D20" s="31">
        <f>('Alternativ 1'!$G$87+'Alternativ 1'!$G$88)</f>
        <v>0</v>
      </c>
      <c r="E20" s="64">
        <f>'Alternativ 1'!H87</f>
        <v>0</v>
      </c>
      <c r="F20" s="31">
        <f>('Alternativ 2'!G87+'Alternativ 2'!G88)</f>
        <v>0</v>
      </c>
      <c r="G20" s="64">
        <f>IF(Z11=0,"",'Alternativ 2'!H87)</f>
        <v>0</v>
      </c>
      <c r="H20" s="31">
        <f>('Alternativ 3'!G87+'Alternativ 3'!G88)</f>
        <v>0</v>
      </c>
      <c r="I20" s="64">
        <f>IF(AA11=0,"",'Alternativ 3'!H87)</f>
        <v>0</v>
      </c>
      <c r="J20" s="31">
        <f>('Alternativ 4'!G87+'Alternativ 4'!G88)</f>
        <v>0</v>
      </c>
      <c r="K20" s="64">
        <f>IF(AB11=0,"",'Alternativ 4'!H87)</f>
        <v>0</v>
      </c>
      <c r="L20" s="31">
        <f>('Alternativ 5'!G87+'Alternativ 5'!G88)</f>
        <v>0</v>
      </c>
      <c r="M20" s="64">
        <f>IF(AC11=0,"",'Alternativ 5'!H87)</f>
        <v>0</v>
      </c>
      <c r="N20" s="27"/>
      <c r="O20" s="27"/>
      <c r="X20" s="13" t="s">
        <v>43</v>
      </c>
      <c r="Y20" s="14">
        <f>D20</f>
        <v>0</v>
      </c>
      <c r="Z20" s="14">
        <f>IF($Z$11=0,"",F20)</f>
        <v>0</v>
      </c>
      <c r="AA20" s="14">
        <f>IF($AA$11=0,"",H20)</f>
        <v>0</v>
      </c>
      <c r="AB20" s="14">
        <f>IF($AB$11=0,"",J20)</f>
        <v>0</v>
      </c>
      <c r="AC20" s="14">
        <f>IF($AC$11=0,"",L20)</f>
        <v>0</v>
      </c>
    </row>
    <row r="21" spans="1:29">
      <c r="B21" s="23"/>
      <c r="C21" s="26" t="s">
        <v>44</v>
      </c>
      <c r="D21" s="31">
        <f>('Alternativ 1'!$G$91)</f>
        <v>0</v>
      </c>
      <c r="E21" s="21">
        <f>'Alternativ 1'!H91</f>
        <v>1</v>
      </c>
      <c r="F21" s="31">
        <f>('Alternativ 2'!G91)</f>
        <v>0</v>
      </c>
      <c r="G21" s="21">
        <f>IF(Z11=0,"",'Alternativ 2'!H91)</f>
        <v>1</v>
      </c>
      <c r="H21" s="31">
        <f>('Alternativ 3'!G91)</f>
        <v>0</v>
      </c>
      <c r="I21" s="21">
        <f>IF(AA11=0,"",'Alternativ 3'!H91)</f>
        <v>1</v>
      </c>
      <c r="J21" s="31">
        <f>('Alternativ 4'!G91)</f>
        <v>0</v>
      </c>
      <c r="K21" s="21">
        <f>IF(AB11=0,"",'Alternativ 4'!H91)</f>
        <v>1</v>
      </c>
      <c r="L21" s="31">
        <f>('Alternativ 5'!G91)</f>
        <v>0</v>
      </c>
      <c r="M21" s="21">
        <f>IF(AC11=0,"",'Alternativ 5'!H91)</f>
        <v>1</v>
      </c>
      <c r="N21" s="27"/>
      <c r="O21" s="27"/>
      <c r="X21" s="9" t="s">
        <v>45</v>
      </c>
      <c r="Y21" s="14">
        <f>D21</f>
        <v>0</v>
      </c>
      <c r="Z21" s="14">
        <f>IF($Z$11=0,"",F21)</f>
        <v>0</v>
      </c>
      <c r="AA21" s="14">
        <f>IF($AA$11=0,"",H21)</f>
        <v>0</v>
      </c>
      <c r="AB21" s="14">
        <f>IF($AB$11=0,"",J21)</f>
        <v>0</v>
      </c>
      <c r="AC21" s="14">
        <f>IF($AC$11=0,"",L21)</f>
        <v>0</v>
      </c>
    </row>
    <row r="22" spans="1:29">
      <c r="B22" s="23"/>
      <c r="C22" s="59" t="str">
        <f>"Sum, A1-C4, tonn CO2 ekv over "&amp;'Generelt om prosjektet'!C24&amp;" år"</f>
        <v>Sum, A1-C4, tonn CO2 ekv over 50 år</v>
      </c>
      <c r="D22" s="55">
        <f>SUM(D15:D21)</f>
        <v>0</v>
      </c>
      <c r="E22" s="60">
        <f>'Alternativ 1'!$H$93</f>
        <v>0</v>
      </c>
      <c r="F22" s="55">
        <f>SUM(F15:F21)</f>
        <v>0</v>
      </c>
      <c r="G22" s="60">
        <f>'Alternativ 2'!$H$93</f>
        <v>0</v>
      </c>
      <c r="H22" s="55">
        <f>SUM(H15:H21)</f>
        <v>0</v>
      </c>
      <c r="I22" s="60">
        <f>'Alternativ 3'!$H$93</f>
        <v>0</v>
      </c>
      <c r="J22" s="55">
        <f>SUM(J15:J21)</f>
        <v>0</v>
      </c>
      <c r="K22" s="60">
        <f>'Alternativ 4'!$H$93</f>
        <v>0</v>
      </c>
      <c r="L22" s="55">
        <f>SUM(L15:L21)</f>
        <v>0</v>
      </c>
      <c r="M22" s="60">
        <f>'Alternativ 5'!$H$93</f>
        <v>0</v>
      </c>
      <c r="N22" s="27"/>
      <c r="O22" s="27"/>
      <c r="Y22" s="62" t="b">
        <f>SUM(Y16:Y21)=$D$22</f>
        <v>1</v>
      </c>
      <c r="Z22" s="62" t="b">
        <f>SUM(Z16:Z21)=F22</f>
        <v>1</v>
      </c>
      <c r="AA22" s="62" t="b">
        <f>SUM(AA16:AA21)=H22</f>
        <v>1</v>
      </c>
      <c r="AB22" s="62" t="b">
        <f>SUM(AB16:AB21)=J22</f>
        <v>1</v>
      </c>
      <c r="AC22" s="62" t="b">
        <f>SUM(AC16:AC21)=L22</f>
        <v>1</v>
      </c>
    </row>
    <row r="23" spans="1:29">
      <c r="B23" s="23"/>
      <c r="C23" s="29"/>
      <c r="D23" s="27"/>
      <c r="E23" s="27"/>
      <c r="F23" s="27"/>
      <c r="G23" s="27"/>
      <c r="H23" s="27"/>
      <c r="I23" s="27"/>
      <c r="J23" s="27"/>
      <c r="K23" s="27"/>
      <c r="L23" s="27"/>
      <c r="M23" s="27"/>
      <c r="N23" s="27"/>
      <c r="O23" s="129"/>
    </row>
    <row r="24" spans="1:29">
      <c r="B24" s="23"/>
      <c r="C24" s="26" t="s">
        <v>46</v>
      </c>
      <c r="D24" s="287">
        <f>'Alternativ 1'!G98</f>
        <v>0</v>
      </c>
      <c r="E24" s="288"/>
      <c r="F24" s="287">
        <f>'Alternativ 2'!G98</f>
        <v>0</v>
      </c>
      <c r="G24" s="288"/>
      <c r="H24" s="287">
        <f>'Alternativ 3'!G98</f>
        <v>0</v>
      </c>
      <c r="I24" s="288"/>
      <c r="J24" s="287">
        <f>'Alternativ 4'!G98</f>
        <v>0</v>
      </c>
      <c r="K24" s="288"/>
      <c r="L24" s="287">
        <f>'Alternativ 5'!G98</f>
        <v>0</v>
      </c>
      <c r="M24" s="288"/>
      <c r="N24" s="27"/>
      <c r="O24" s="129"/>
    </row>
    <row r="25" spans="1:29" ht="15">
      <c r="B25" s="23"/>
      <c r="C25" s="26" t="s">
        <v>47</v>
      </c>
      <c r="D25" s="284">
        <f ca="1">'Alternativ 1'!G99</f>
        <v>0</v>
      </c>
      <c r="E25" s="286"/>
      <c r="F25" s="284">
        <f ca="1">'Alternativ 2'!G99</f>
        <v>0</v>
      </c>
      <c r="G25" s="286"/>
      <c r="H25" s="284">
        <f ca="1">'Alternativ 3'!G99</f>
        <v>0</v>
      </c>
      <c r="I25" s="286"/>
      <c r="J25" s="284">
        <f ca="1">'Alternativ 4'!G99</f>
        <v>0</v>
      </c>
      <c r="K25" s="286"/>
      <c r="L25" s="284">
        <f ca="1">'Alternativ 5'!G99</f>
        <v>0</v>
      </c>
      <c r="M25" s="286"/>
      <c r="N25" s="123"/>
      <c r="O25" s="27"/>
      <c r="X25" s="5" t="str">
        <f>"Resultat, kg CO2 ekv, "&amp;'Generelt om prosjektet'!C24&amp;" år, pr m2 oppvarmet BRA"</f>
        <v>Resultat, kg CO2 ekv, 50 år, pr m2 oppvarmet BRA</v>
      </c>
    </row>
    <row r="26" spans="1:29">
      <c r="B26" s="23"/>
      <c r="C26" s="61"/>
      <c r="D26" s="61"/>
      <c r="E26" s="61"/>
      <c r="F26" s="61"/>
      <c r="G26" s="61"/>
      <c r="H26" s="61"/>
      <c r="I26" s="61"/>
      <c r="J26" s="61"/>
      <c r="K26" s="61"/>
      <c r="L26" s="27"/>
      <c r="M26" s="27"/>
      <c r="N26" s="27"/>
      <c r="O26" s="27"/>
      <c r="X26" s="9"/>
      <c r="Y26" s="9" t="s">
        <v>22</v>
      </c>
      <c r="Z26" s="9" t="str">
        <f>IF($Z$11=0,"","Alternativ 2")</f>
        <v>Alternativ 2</v>
      </c>
      <c r="AA26" s="9" t="str">
        <f>IF($AA$11=0,"","Alternativ 3")</f>
        <v>Alternativ 3</v>
      </c>
      <c r="AB26" s="9" t="str">
        <f>IF($AB$11=0,"","Alternativ 4")</f>
        <v>Alternativ 4</v>
      </c>
      <c r="AC26" s="9" t="str">
        <f>IF($AC$11=0,"","Alternativ 5")</f>
        <v>Alternativ 5</v>
      </c>
    </row>
    <row r="27" spans="1:29">
      <c r="B27" s="23"/>
      <c r="C27" s="57" t="s">
        <v>48</v>
      </c>
      <c r="D27" s="291" t="s">
        <v>22</v>
      </c>
      <c r="E27" s="291"/>
      <c r="F27" s="292" t="s">
        <v>23</v>
      </c>
      <c r="G27" s="292"/>
      <c r="H27" s="293" t="s">
        <v>24</v>
      </c>
      <c r="I27" s="293"/>
      <c r="J27" s="283" t="s">
        <v>25</v>
      </c>
      <c r="K27" s="283"/>
      <c r="L27" s="285" t="s">
        <v>26</v>
      </c>
      <c r="M27" s="285"/>
      <c r="N27" s="27"/>
      <c r="O27" s="27"/>
      <c r="X27" s="13" t="str">
        <f t="shared" ref="X27:X32" si="0">X16</f>
        <v>Riving (eksisterende bygg)</v>
      </c>
      <c r="Y27" s="128">
        <f>IFERROR(Y16*1000/$D$41,0)</f>
        <v>0</v>
      </c>
      <c r="Z27" s="128">
        <f>IFERROR(Z16*1000/$F$41,0)</f>
        <v>0</v>
      </c>
      <c r="AA27" s="128">
        <f>IFERROR(AA16*1000/$H$41,0)</f>
        <v>0</v>
      </c>
      <c r="AB27" s="128">
        <f>IFERROR(AB16*1000/$J$41,0)</f>
        <v>0</v>
      </c>
      <c r="AC27" s="128">
        <f>IFERROR(AC16*1000/$L$41,0)</f>
        <v>0</v>
      </c>
    </row>
    <row r="28" spans="1:29">
      <c r="B28" s="295"/>
      <c r="C28" s="26" t="s">
        <v>49</v>
      </c>
      <c r="D28" s="290">
        <f>IFERROR(D22*1000/E41,0)</f>
        <v>0</v>
      </c>
      <c r="E28" s="290"/>
      <c r="F28" s="290">
        <f>IFERROR(F22*1000/G41,0)</f>
        <v>0</v>
      </c>
      <c r="G28" s="290"/>
      <c r="H28" s="290">
        <f>IFERROR(H22*1000/I41,0)</f>
        <v>0</v>
      </c>
      <c r="I28" s="290"/>
      <c r="J28" s="290">
        <f>IFERROR(J22*1000/K41,0)</f>
        <v>0</v>
      </c>
      <c r="K28" s="290"/>
      <c r="L28" s="290">
        <f>IFERROR(L22*1000/M41,0)</f>
        <v>0</v>
      </c>
      <c r="M28" s="290"/>
      <c r="N28" s="27"/>
      <c r="O28" s="27"/>
      <c r="X28" s="13" t="str">
        <f t="shared" si="0"/>
        <v>Materialer (produksjon, transport, utskifting)</v>
      </c>
      <c r="Y28" s="128">
        <f t="shared" ref="Y28:Y32" si="1">IFERROR(Y17*1000/$D$41,0)</f>
        <v>0</v>
      </c>
      <c r="Z28" s="128">
        <f t="shared" ref="Z28:Z32" si="2">IFERROR(Z17*1000/$F$41,0)</f>
        <v>0</v>
      </c>
      <c r="AA28" s="128">
        <f t="shared" ref="AA28:AA32" si="3">IFERROR(AA17*1000/$H$41,0)</f>
        <v>0</v>
      </c>
      <c r="AB28" s="128">
        <f t="shared" ref="AB28:AB32" si="4">IFERROR(AB17*1000/$J$41,0)</f>
        <v>0</v>
      </c>
      <c r="AC28" s="128">
        <f t="shared" ref="AC28:AC32" si="5">IFERROR(AC17*1000/$L$41,0)</f>
        <v>0</v>
      </c>
    </row>
    <row r="29" spans="1:29">
      <c r="B29" s="295"/>
      <c r="C29" s="26" t="s">
        <v>50</v>
      </c>
      <c r="D29" s="284">
        <f>IFERROR(D22*1000/D41,0)</f>
        <v>0</v>
      </c>
      <c r="E29" s="284"/>
      <c r="F29" s="284">
        <f>IFERROR(F22*1000/F41,0)</f>
        <v>0</v>
      </c>
      <c r="G29" s="284"/>
      <c r="H29" s="284">
        <f>IFERROR(H22*1000/H41,0)</f>
        <v>0</v>
      </c>
      <c r="I29" s="284"/>
      <c r="J29" s="284">
        <f>IFERROR(J22*1000/J41,0)</f>
        <v>0</v>
      </c>
      <c r="K29" s="284"/>
      <c r="L29" s="284">
        <f>IFERROR(L22*1000/L41,0)</f>
        <v>0</v>
      </c>
      <c r="M29" s="284"/>
      <c r="N29" s="27"/>
      <c r="O29" s="27"/>
      <c r="X29" s="13" t="str">
        <f t="shared" si="0"/>
        <v>Byggeplass (kapp, svinn, avfall, energi og massetransport)</v>
      </c>
      <c r="Y29" s="128">
        <f t="shared" si="1"/>
        <v>0</v>
      </c>
      <c r="Z29" s="128">
        <f t="shared" si="2"/>
        <v>0</v>
      </c>
      <c r="AA29" s="244">
        <f t="shared" si="3"/>
        <v>0</v>
      </c>
      <c r="AB29" s="128">
        <f t="shared" si="4"/>
        <v>0</v>
      </c>
      <c r="AC29" s="128">
        <f t="shared" si="5"/>
        <v>0</v>
      </c>
    </row>
    <row r="30" spans="1:29">
      <c r="B30" s="23"/>
      <c r="C30" s="26" t="s">
        <v>51</v>
      </c>
      <c r="D30" s="284">
        <f ca="1">IFERROR(D22/'Alternativ 1'!$AI$58,0)</f>
        <v>0</v>
      </c>
      <c r="E30" s="284"/>
      <c r="F30" s="284">
        <f ca="1">IFERROR(F22/'Alternativ 2'!AI58,0)</f>
        <v>0</v>
      </c>
      <c r="G30" s="284"/>
      <c r="H30" s="284">
        <f ca="1">IFERROR(H22/'Alternativ 3'!AI58,0)</f>
        <v>0</v>
      </c>
      <c r="I30" s="284"/>
      <c r="J30" s="284">
        <f ca="1">IFERROR(J22/'Alternativ 4'!AI58,0)</f>
        <v>0</v>
      </c>
      <c r="K30" s="284"/>
      <c r="L30" s="284">
        <f ca="1">IFERROR(L22/'Alternativ 5'!AI58,0)</f>
        <v>0</v>
      </c>
      <c r="M30" s="284"/>
      <c r="N30" s="27"/>
      <c r="O30" s="27"/>
      <c r="X30" s="13" t="str">
        <f t="shared" si="0"/>
        <v>Energibruk i drift</v>
      </c>
      <c r="Y30" s="128">
        <f t="shared" si="1"/>
        <v>0</v>
      </c>
      <c r="Z30" s="128">
        <f t="shared" si="2"/>
        <v>0</v>
      </c>
      <c r="AA30" s="244">
        <f t="shared" si="3"/>
        <v>0</v>
      </c>
      <c r="AB30" s="128">
        <f t="shared" si="4"/>
        <v>0</v>
      </c>
      <c r="AC30" s="128">
        <f t="shared" si="5"/>
        <v>0</v>
      </c>
    </row>
    <row r="31" spans="1:29" ht="29.25" customHeight="1">
      <c r="B31" s="23"/>
      <c r="C31" s="28" t="s">
        <v>52</v>
      </c>
      <c r="D31" s="440" t="str">
        <f ca="1">'Alternativ 1'!$AI$57</f>
        <v/>
      </c>
      <c r="E31" s="440"/>
      <c r="F31" s="440" t="str">
        <f ca="1">'Alternativ 2'!AI57</f>
        <v/>
      </c>
      <c r="G31" s="440"/>
      <c r="H31" s="440" t="str">
        <f ca="1">'Alternativ 3'!AI57</f>
        <v/>
      </c>
      <c r="I31" s="440"/>
      <c r="J31" s="440" t="str">
        <f ca="1">'Alternativ 4'!AI57</f>
        <v/>
      </c>
      <c r="K31" s="440"/>
      <c r="L31" s="300" t="str">
        <f ca="1">'Alternativ 5'!AI57</f>
        <v/>
      </c>
      <c r="M31" s="300"/>
      <c r="N31" s="27"/>
      <c r="O31" s="27"/>
      <c r="X31" s="13" t="str">
        <f t="shared" si="0"/>
        <v>Arealbruksendring (nedbygging og nyetablering)</v>
      </c>
      <c r="Y31" s="128">
        <f t="shared" si="1"/>
        <v>0</v>
      </c>
      <c r="Z31" s="128">
        <f t="shared" si="2"/>
        <v>0</v>
      </c>
      <c r="AA31" s="128">
        <f t="shared" si="3"/>
        <v>0</v>
      </c>
      <c r="AB31" s="128">
        <f t="shared" si="4"/>
        <v>0</v>
      </c>
      <c r="AC31" s="128">
        <f t="shared" si="5"/>
        <v>0</v>
      </c>
    </row>
    <row r="32" spans="1:29">
      <c r="B32" s="23"/>
      <c r="C32" s="27"/>
      <c r="D32" s="27"/>
      <c r="E32" s="27"/>
      <c r="F32" s="27"/>
      <c r="G32" s="27"/>
      <c r="H32" s="27"/>
      <c r="I32" s="27"/>
      <c r="J32" s="27"/>
      <c r="K32" s="27"/>
      <c r="L32" s="27"/>
      <c r="M32" s="27"/>
      <c r="N32" s="27"/>
      <c r="O32" s="27"/>
      <c r="X32" s="13" t="str">
        <f t="shared" si="0"/>
        <v>Riving (bygg i fremtiden)</v>
      </c>
      <c r="Y32" s="128">
        <f t="shared" si="1"/>
        <v>0</v>
      </c>
      <c r="Z32" s="128">
        <f t="shared" si="2"/>
        <v>0</v>
      </c>
      <c r="AA32" s="244">
        <f t="shared" si="3"/>
        <v>0</v>
      </c>
      <c r="AB32" s="128">
        <f t="shared" si="4"/>
        <v>0</v>
      </c>
      <c r="AC32" s="128">
        <f t="shared" si="5"/>
        <v>0</v>
      </c>
    </row>
    <row r="33" spans="2:39">
      <c r="B33" s="23"/>
      <c r="C33" s="23"/>
      <c r="D33" s="27"/>
      <c r="E33" s="27"/>
      <c r="F33" s="27"/>
      <c r="G33" s="27"/>
      <c r="H33" s="27"/>
      <c r="I33" s="27"/>
      <c r="J33" s="27"/>
      <c r="K33" s="27"/>
      <c r="L33" s="27"/>
      <c r="M33" s="27"/>
      <c r="N33" s="27"/>
      <c r="O33" s="27"/>
    </row>
    <row r="34" spans="2:39">
      <c r="B34" s="23"/>
      <c r="C34" s="34" t="s">
        <v>53</v>
      </c>
      <c r="D34" s="291" t="s">
        <v>22</v>
      </c>
      <c r="E34" s="291"/>
      <c r="F34" s="292" t="s">
        <v>23</v>
      </c>
      <c r="G34" s="292"/>
      <c r="H34" s="293" t="s">
        <v>24</v>
      </c>
      <c r="I34" s="293"/>
      <c r="J34" s="283" t="s">
        <v>25</v>
      </c>
      <c r="K34" s="283"/>
      <c r="L34" s="285" t="s">
        <v>26</v>
      </c>
      <c r="M34" s="285"/>
      <c r="N34" s="27"/>
      <c r="O34" s="27"/>
    </row>
    <row r="35" spans="2:39">
      <c r="B35" s="23"/>
      <c r="C35" s="57" t="s">
        <v>54</v>
      </c>
      <c r="D35" s="30" t="s">
        <v>55</v>
      </c>
      <c r="E35" s="30" t="s">
        <v>56</v>
      </c>
      <c r="F35" s="30" t="s">
        <v>55</v>
      </c>
      <c r="G35" s="30" t="s">
        <v>56</v>
      </c>
      <c r="H35" s="30" t="s">
        <v>55</v>
      </c>
      <c r="I35" s="30" t="s">
        <v>56</v>
      </c>
      <c r="J35" s="30" t="s">
        <v>55</v>
      </c>
      <c r="K35" s="30" t="s">
        <v>56</v>
      </c>
      <c r="L35" s="30" t="s">
        <v>55</v>
      </c>
      <c r="M35" s="30" t="s">
        <v>56</v>
      </c>
      <c r="N35" s="27"/>
      <c r="O35" s="27"/>
    </row>
    <row r="36" spans="2:39">
      <c r="B36" s="23"/>
      <c r="C36" s="26" t="s">
        <v>57</v>
      </c>
      <c r="D36" s="31">
        <f>'Alternativ 1'!$AB$5</f>
        <v>0</v>
      </c>
      <c r="E36" s="31">
        <f>'Alternativ 1'!$AC$5</f>
        <v>0</v>
      </c>
      <c r="F36" s="31">
        <f>'Alternativ 2'!$AB$5</f>
        <v>0</v>
      </c>
      <c r="G36" s="31">
        <f>'Alternativ 2'!$AC$5</f>
        <v>0</v>
      </c>
      <c r="H36" s="31">
        <f>'Alternativ 3'!$AB$5</f>
        <v>0</v>
      </c>
      <c r="I36" s="31">
        <f>'Alternativ 3'!$AC$5</f>
        <v>0</v>
      </c>
      <c r="J36" s="31">
        <f>'Alternativ 4'!$AB$5</f>
        <v>0</v>
      </c>
      <c r="K36" s="31">
        <f>'Alternativ 4'!$AC$5</f>
        <v>0</v>
      </c>
      <c r="L36" s="31">
        <f>'Alternativ 5'!$AB$5</f>
        <v>0</v>
      </c>
      <c r="M36" s="31">
        <f>'Alternativ 5'!$AC$5</f>
        <v>0</v>
      </c>
      <c r="N36" s="27"/>
      <c r="O36" s="27"/>
    </row>
    <row r="37" spans="2:39">
      <c r="B37" s="23"/>
      <c r="C37" s="26" t="s">
        <v>58</v>
      </c>
      <c r="D37" s="31">
        <f>'Alternativ 1'!$AB$6</f>
        <v>0</v>
      </c>
      <c r="E37" s="31">
        <f>'Alternativ 1'!$AC$6</f>
        <v>0</v>
      </c>
      <c r="F37" s="31">
        <f>'Alternativ 2'!$AB$6</f>
        <v>0</v>
      </c>
      <c r="G37" s="31">
        <f>'Alternativ 2'!$AC$6</f>
        <v>0</v>
      </c>
      <c r="H37" s="31">
        <f>'Alternativ 3'!$AB$6</f>
        <v>0</v>
      </c>
      <c r="I37" s="31">
        <f>'Alternativ 3'!$AC$6</f>
        <v>0</v>
      </c>
      <c r="J37" s="31">
        <f>'Alternativ 4'!$AB$6</f>
        <v>0</v>
      </c>
      <c r="K37" s="31">
        <f>'Alternativ 4'!$AC$6</f>
        <v>0</v>
      </c>
      <c r="L37" s="31">
        <f>'Alternativ 5'!$AB$6</f>
        <v>0</v>
      </c>
      <c r="M37" s="31">
        <f>'Alternativ 5'!$AC$6</f>
        <v>0</v>
      </c>
      <c r="N37" s="27"/>
      <c r="O37" s="27"/>
    </row>
    <row r="38" spans="2:39">
      <c r="B38" s="23"/>
      <c r="C38" s="26" t="s">
        <v>59</v>
      </c>
      <c r="D38" s="31">
        <f>'Alternativ 1'!$AB$7</f>
        <v>0</v>
      </c>
      <c r="E38" s="31">
        <f>'Alternativ 1'!$AC$7</f>
        <v>0</v>
      </c>
      <c r="F38" s="31">
        <f>'Alternativ 2'!$AB$7</f>
        <v>0</v>
      </c>
      <c r="G38" s="31">
        <f>'Alternativ 2'!$AC$7</f>
        <v>0</v>
      </c>
      <c r="H38" s="31">
        <f>'Alternativ 3'!$AB$7</f>
        <v>0</v>
      </c>
      <c r="I38" s="31">
        <f>'Alternativ 3'!$AC$7</f>
        <v>0</v>
      </c>
      <c r="J38" s="31">
        <f>'Alternativ 4'!$AB$7</f>
        <v>0</v>
      </c>
      <c r="K38" s="31">
        <f>'Alternativ 4'!$AC$7</f>
        <v>0</v>
      </c>
      <c r="L38" s="31">
        <f>'Alternativ 5'!$AB$7</f>
        <v>0</v>
      </c>
      <c r="M38" s="31">
        <f>'Alternativ 5'!$AC$7</f>
        <v>0</v>
      </c>
      <c r="N38" s="27"/>
      <c r="O38" s="27"/>
    </row>
    <row r="39" spans="2:39">
      <c r="B39" s="23"/>
      <c r="C39" s="26" t="s">
        <v>60</v>
      </c>
      <c r="D39" s="31">
        <f>'Alternativ 1'!$AB$8</f>
        <v>0</v>
      </c>
      <c r="E39" s="31">
        <f>'Alternativ 1'!$AC$8</f>
        <v>0</v>
      </c>
      <c r="F39" s="31">
        <f>'Alternativ 2'!$AB$8</f>
        <v>0</v>
      </c>
      <c r="G39" s="31">
        <f>'Alternativ 2'!$AC$8</f>
        <v>0</v>
      </c>
      <c r="H39" s="31">
        <f>'Alternativ 3'!$AB$8</f>
        <v>0</v>
      </c>
      <c r="I39" s="31">
        <f>'Alternativ 3'!$AC$8</f>
        <v>0</v>
      </c>
      <c r="J39" s="31">
        <f>'Alternativ 4'!$AB$8</f>
        <v>0</v>
      </c>
      <c r="K39" s="31">
        <f>'Alternativ 4'!$AC$8</f>
        <v>0</v>
      </c>
      <c r="L39" s="31">
        <f>'Alternativ 5'!$AB$8</f>
        <v>0</v>
      </c>
      <c r="M39" s="31">
        <f>'Alternativ 5'!$AC$8</f>
        <v>0</v>
      </c>
      <c r="N39" s="27"/>
      <c r="O39" s="27"/>
    </row>
    <row r="40" spans="2:39">
      <c r="B40" s="23"/>
      <c r="C40" s="26" t="s">
        <v>61</v>
      </c>
      <c r="D40" s="31"/>
      <c r="E40" s="31">
        <f>'Alternativ 1'!$AC$9</f>
        <v>0</v>
      </c>
      <c r="F40" s="31"/>
      <c r="G40" s="31">
        <f>'Alternativ 2'!$AC$9</f>
        <v>0</v>
      </c>
      <c r="H40" s="31"/>
      <c r="I40" s="31">
        <f>'Alternativ 3'!$AC$9</f>
        <v>0</v>
      </c>
      <c r="J40" s="31"/>
      <c r="K40" s="31">
        <f>'Alternativ 4'!$AC$9</f>
        <v>0</v>
      </c>
      <c r="L40" s="31"/>
      <c r="M40" s="31">
        <f>'Alternativ 5'!$AC$9</f>
        <v>0</v>
      </c>
      <c r="N40" s="27"/>
      <c r="O40" s="27"/>
    </row>
    <row r="41" spans="2:39">
      <c r="B41" s="23"/>
      <c r="C41" s="59" t="s">
        <v>62</v>
      </c>
      <c r="D41" s="55">
        <f>SUM(D36:D39)</f>
        <v>0</v>
      </c>
      <c r="E41" s="55">
        <f>SUM(E36:E40)</f>
        <v>0</v>
      </c>
      <c r="F41" s="56">
        <f>SUM(F36:F39)</f>
        <v>0</v>
      </c>
      <c r="G41" s="55">
        <f>SUM(G36:G40)</f>
        <v>0</v>
      </c>
      <c r="H41" s="55">
        <f>SUM(H36:H39)</f>
        <v>0</v>
      </c>
      <c r="I41" s="55">
        <f>SUM(I36:I40)</f>
        <v>0</v>
      </c>
      <c r="J41" s="55">
        <f>SUM(J36:J39)</f>
        <v>0</v>
      </c>
      <c r="K41" s="55">
        <f>SUM(K36:K40)</f>
        <v>0</v>
      </c>
      <c r="L41" s="55">
        <f>SUM(L36:L39)</f>
        <v>0</v>
      </c>
      <c r="M41" s="55">
        <f>SUM(M36:M40)</f>
        <v>0</v>
      </c>
      <c r="N41" s="23"/>
      <c r="O41" s="23"/>
      <c r="AM41" s="62"/>
    </row>
    <row r="42" spans="2:39" ht="15">
      <c r="B42" s="23"/>
      <c r="C42" s="25"/>
      <c r="D42" s="23"/>
      <c r="E42" s="23"/>
      <c r="F42" s="23"/>
      <c r="G42" s="23"/>
      <c r="H42" s="23"/>
      <c r="I42" s="23"/>
      <c r="J42" s="23"/>
      <c r="K42" s="23"/>
      <c r="L42" s="23"/>
      <c r="M42" s="23"/>
      <c r="N42" s="23"/>
      <c r="O42" s="23"/>
      <c r="X42" s="5" t="str">
        <f>"Resultat, tonn CO2 ekv, "&amp;'Generelt om prosjektet'!C24&amp;" år, pr bruker"</f>
        <v>Resultat, tonn CO2 ekv, 50 år, pr bruker</v>
      </c>
      <c r="Y42" s="127">
        <f ca="1">'Alternativ 1'!$AI$58</f>
        <v>0</v>
      </c>
      <c r="Z42" s="127">
        <f ca="1">'Alternativ 2'!$AI$58</f>
        <v>0</v>
      </c>
      <c r="AA42" s="127">
        <f ca="1">'Alternativ 3'!$AI$58</f>
        <v>0</v>
      </c>
      <c r="AB42" s="127">
        <f ca="1">'Alternativ 4'!$AI$58</f>
        <v>0</v>
      </c>
      <c r="AC42" s="127">
        <f ca="1">'Alternativ 5'!$AI$58</f>
        <v>0</v>
      </c>
      <c r="AM42" s="62"/>
    </row>
    <row r="43" spans="2:39" ht="23.25">
      <c r="B43" s="23"/>
      <c r="C43" s="124" t="s">
        <v>63</v>
      </c>
      <c r="D43" s="23"/>
      <c r="E43" s="23"/>
      <c r="F43" s="23"/>
      <c r="G43" s="23"/>
      <c r="H43" s="23"/>
      <c r="I43" s="23"/>
      <c r="J43" s="23"/>
      <c r="K43" s="23"/>
      <c r="L43" s="23"/>
      <c r="M43" s="23"/>
      <c r="N43" s="23"/>
      <c r="O43" s="23"/>
      <c r="X43" s="9"/>
      <c r="Y43" s="9" t="s">
        <v>22</v>
      </c>
      <c r="Z43" s="9" t="str">
        <f>IF($Z$11=0,"","Alternativ 2")</f>
        <v>Alternativ 2</v>
      </c>
      <c r="AA43" s="9" t="str">
        <f>IF($AA$11=0,"","Alternativ 3")</f>
        <v>Alternativ 3</v>
      </c>
      <c r="AB43" s="9" t="str">
        <f>IF($AB$11=0,"","Alternativ 4")</f>
        <v>Alternativ 4</v>
      </c>
      <c r="AC43" s="9" t="str">
        <f>IF($AC$11=0,"","Alternativ 5")</f>
        <v>Alternativ 5</v>
      </c>
      <c r="AM43" s="62"/>
    </row>
    <row r="44" spans="2:39">
      <c r="B44" s="16"/>
      <c r="D44" s="17"/>
      <c r="E44" s="17"/>
      <c r="F44" s="17"/>
      <c r="G44" s="17"/>
      <c r="H44" s="17"/>
      <c r="I44" s="17"/>
      <c r="J44" s="17"/>
      <c r="K44" s="17"/>
      <c r="X44" s="13" t="str">
        <f t="shared" ref="X44:X49" si="6">X16</f>
        <v>Riving (eksisterende bygg)</v>
      </c>
      <c r="Y44" s="119">
        <f ca="1">IFERROR(Y16/Y$42,0)</f>
        <v>0</v>
      </c>
      <c r="Z44" s="119">
        <f ca="1">IFERROR(Z16/Z$42,0)</f>
        <v>0</v>
      </c>
      <c r="AA44" s="119">
        <f ca="1">IFERROR(AA16/AA$42,0)</f>
        <v>0</v>
      </c>
      <c r="AB44" s="119">
        <f ca="1">IFERROR(AB16/AB$42,0)</f>
        <v>0</v>
      </c>
      <c r="AC44" s="119">
        <f ca="1">IFERROR(AC16/AC$42,0)</f>
        <v>0</v>
      </c>
    </row>
    <row r="45" spans="2:39">
      <c r="B45" s="16"/>
      <c r="D45" s="17"/>
      <c r="E45" s="17"/>
      <c r="F45" s="17"/>
      <c r="G45" s="17"/>
      <c r="H45" s="17"/>
      <c r="I45" s="17"/>
      <c r="J45" s="17"/>
      <c r="K45" s="17"/>
      <c r="X45" s="13" t="str">
        <f t="shared" si="6"/>
        <v>Materialer (produksjon, transport, utskifting)</v>
      </c>
      <c r="Y45" s="119">
        <f ca="1">IFERROR(Y17/Y$42,0)</f>
        <v>0</v>
      </c>
      <c r="Z45" s="119">
        <f ca="1">IFERROR(Z17/Z$42,0)</f>
        <v>0</v>
      </c>
      <c r="AA45" s="119">
        <f ca="1">IFERROR(AA17/AA$42,0)</f>
        <v>0</v>
      </c>
      <c r="AB45" s="119">
        <f ca="1">IFERROR(AB17/AB$42,0)</f>
        <v>0</v>
      </c>
      <c r="AC45" s="119">
        <f ca="1">IFERROR(AC17/AC$42,0)</f>
        <v>0</v>
      </c>
    </row>
    <row r="46" spans="2:39">
      <c r="X46" s="13" t="str">
        <f t="shared" si="6"/>
        <v>Byggeplass (kapp, svinn, avfall, energi og massetransport)</v>
      </c>
      <c r="Y46" s="119">
        <f ca="1">IFERROR(Y18/Y$42,0)</f>
        <v>0</v>
      </c>
      <c r="Z46" s="119">
        <f ca="1">IFERROR(Z18/Z$42,0)</f>
        <v>0</v>
      </c>
      <c r="AA46" s="119">
        <f ca="1">IFERROR(AA18/AA$42,0)</f>
        <v>0</v>
      </c>
      <c r="AB46" s="119">
        <f ca="1">IFERROR(AB18/AB$42,0)</f>
        <v>0</v>
      </c>
      <c r="AC46" s="119">
        <f ca="1">IFERROR(AC18/AC$42,0)</f>
        <v>0</v>
      </c>
    </row>
    <row r="47" spans="2:39">
      <c r="X47" s="13" t="str">
        <f t="shared" si="6"/>
        <v>Energibruk i drift</v>
      </c>
      <c r="Y47" s="119">
        <f ca="1">IFERROR(Y19/Y$42,0)</f>
        <v>0</v>
      </c>
      <c r="Z47" s="119">
        <f ca="1">IFERROR(Z19/Z$42,0)</f>
        <v>0</v>
      </c>
      <c r="AA47" s="119">
        <f ca="1">IFERROR(AA19/AA$42,0)</f>
        <v>0</v>
      </c>
      <c r="AB47" s="119">
        <f ca="1">IFERROR(AB19/AB$42,0)</f>
        <v>0</v>
      </c>
      <c r="AC47" s="119">
        <f ca="1">IFERROR(AC19/AC$42,0)</f>
        <v>0</v>
      </c>
    </row>
    <row r="48" spans="2:39">
      <c r="B48" s="16"/>
      <c r="D48" s="17"/>
      <c r="E48" s="17"/>
      <c r="F48" s="17"/>
      <c r="G48" s="17"/>
      <c r="H48" s="17"/>
      <c r="I48" s="17"/>
      <c r="J48" s="17"/>
      <c r="K48" s="17"/>
      <c r="X48" s="13" t="str">
        <f t="shared" si="6"/>
        <v>Arealbruksendring (nedbygging og nyetablering)</v>
      </c>
      <c r="Y48" s="119">
        <f ca="1">IFERROR(Y20/Y$42,0)</f>
        <v>0</v>
      </c>
      <c r="Z48" s="119">
        <f ca="1">IFERROR(Z20/Z$42,0)</f>
        <v>0</v>
      </c>
      <c r="AA48" s="119">
        <f ca="1">IFERROR(AA20/AA$42,0)</f>
        <v>0</v>
      </c>
      <c r="AB48" s="119">
        <f ca="1">IFERROR(AB20/AB$42,0)</f>
        <v>0</v>
      </c>
      <c r="AC48" s="119">
        <f ca="1">IFERROR(AC20/AC$42,0)</f>
        <v>0</v>
      </c>
    </row>
    <row r="49" spans="1:41">
      <c r="B49" s="16"/>
      <c r="D49" s="17"/>
      <c r="E49" s="17"/>
      <c r="F49" s="17"/>
      <c r="G49" s="17"/>
      <c r="H49" s="17"/>
      <c r="I49" s="17"/>
      <c r="J49" s="17"/>
      <c r="K49" s="17"/>
      <c r="X49" s="13" t="str">
        <f t="shared" si="6"/>
        <v>Riving (bygg i fremtiden)</v>
      </c>
      <c r="Y49" s="119">
        <f ca="1">IFERROR(Y21/Y$42,0)</f>
        <v>0</v>
      </c>
      <c r="Z49" s="119">
        <f ca="1">IFERROR(Z21/Z$42,0)</f>
        <v>0</v>
      </c>
      <c r="AA49" s="119">
        <f ca="1">IFERROR(AA21/AA$42,0)</f>
        <v>0</v>
      </c>
      <c r="AB49" s="119">
        <f ca="1">IFERROR(AB21/AB$42,0)</f>
        <v>0</v>
      </c>
      <c r="AC49" s="119">
        <f ca="1">IFERROR(AC21/AC$42,0)</f>
        <v>0</v>
      </c>
      <c r="AM49" s="62"/>
    </row>
    <row r="50" spans="1:41">
      <c r="AM50" s="62"/>
    </row>
    <row r="51" spans="1:41">
      <c r="AM51" s="62"/>
    </row>
    <row r="52" spans="1:41">
      <c r="AM52" s="62"/>
      <c r="AO52" s="62"/>
    </row>
    <row r="53" spans="1:41">
      <c r="AM53" s="62"/>
      <c r="AO53" s="62"/>
    </row>
    <row r="55" spans="1:41">
      <c r="AM55" s="133"/>
    </row>
    <row r="56" spans="1:41">
      <c r="AK56" s="2" t="e">
        <f>AK67=Y27+Y28+Y29+Y30+Y32</f>
        <v>#DIV/0!</v>
      </c>
      <c r="AL56" s="2" t="e">
        <f t="shared" ref="AL56:AO56" si="7">AL67=Z27+Z28+Z29+Z30+Z32</f>
        <v>#DIV/0!</v>
      </c>
      <c r="AM56" s="2" t="e">
        <f t="shared" si="7"/>
        <v>#DIV/0!</v>
      </c>
      <c r="AN56" s="2" t="e">
        <f t="shared" si="7"/>
        <v>#DIV/0!</v>
      </c>
      <c r="AO56" s="2" t="e">
        <f t="shared" si="7"/>
        <v>#DIV/0!</v>
      </c>
    </row>
    <row r="57" spans="1:41">
      <c r="M57" s="12"/>
    </row>
    <row r="58" spans="1:41">
      <c r="AJ58" s="9" t="s">
        <v>622</v>
      </c>
      <c r="AK58" s="9"/>
      <c r="AL58" s="9"/>
      <c r="AM58" s="9"/>
      <c r="AN58" s="9"/>
      <c r="AO58" s="9"/>
    </row>
    <row r="59" spans="1:41">
      <c r="AJ59" s="9"/>
      <c r="AK59" s="9" t="s">
        <v>22</v>
      </c>
      <c r="AL59" s="9" t="s">
        <v>23</v>
      </c>
      <c r="AM59" s="9" t="s">
        <v>24</v>
      </c>
      <c r="AN59" s="9" t="s">
        <v>25</v>
      </c>
      <c r="AO59" s="9" t="s">
        <v>26</v>
      </c>
    </row>
    <row r="60" spans="1:41">
      <c r="AJ60" s="9" t="s">
        <v>35</v>
      </c>
      <c r="AK60" s="14" t="e">
        <f>Y16*1000/$D$41</f>
        <v>#DIV/0!</v>
      </c>
      <c r="AL60" s="14" t="e">
        <f>Z16*1000/$F$41</f>
        <v>#DIV/0!</v>
      </c>
      <c r="AM60" s="14" t="e">
        <f>AA16*1000/$H$41</f>
        <v>#DIV/0!</v>
      </c>
      <c r="AN60" s="14" t="e">
        <f>AB16*1000/$J$41</f>
        <v>#DIV/0!</v>
      </c>
      <c r="AO60" s="14" t="e">
        <f>AC16*1000/$L$41</f>
        <v>#DIV/0!</v>
      </c>
    </row>
    <row r="61" spans="1:41">
      <c r="A61" s="6"/>
      <c r="AJ61" s="9" t="s">
        <v>39</v>
      </c>
      <c r="AK61" s="14" t="e">
        <f>Y18*1000/D41</f>
        <v>#DIV/0!</v>
      </c>
      <c r="AL61" s="14" t="e">
        <f>Z18*1000/F41</f>
        <v>#DIV/0!</v>
      </c>
      <c r="AM61" s="247" t="e">
        <f>AA18*1000/H41</f>
        <v>#DIV/0!</v>
      </c>
      <c r="AN61" s="14" t="e">
        <f>AB18*1000/J41</f>
        <v>#DIV/0!</v>
      </c>
      <c r="AO61" s="14" t="e">
        <f>AC18*1000/L41</f>
        <v>#DIV/0!</v>
      </c>
    </row>
    <row r="62" spans="1:41">
      <c r="A62" s="6"/>
      <c r="AJ62" s="9" t="s">
        <v>623</v>
      </c>
      <c r="AK62" s="14" t="e">
        <f>(('Alternativ 1'!G81)+(('Alternativ 1'!G82+'Alternativ 1'!G83+'Alternativ 1'!G92)))*1000/D41</f>
        <v>#DIV/0!</v>
      </c>
      <c r="AL62" s="14" t="e">
        <f>(('Alternativ 2'!G81)+(('Alternativ 2'!G82+'Alternativ 2'!G83+'Alternativ 2'!G92)))*1000/F41</f>
        <v>#DIV/0!</v>
      </c>
      <c r="AM62" s="14" t="e">
        <f>(('Alternativ 3'!G81)+(('Alternativ 3'!G82+'Alternativ 3'!G83+'Alternativ 3'!G92)))*1000/H41</f>
        <v>#DIV/0!</v>
      </c>
      <c r="AN62" s="14" t="e">
        <f>(('Alternativ 4'!G81)+(('Alternativ 4'!G82+'Alternativ 4'!G83+'Alternativ 4'!G92)))*1000/J41</f>
        <v>#DIV/0!</v>
      </c>
      <c r="AO62" s="14" t="e">
        <f>(('Alternativ 5'!G81)+(('Alternativ 5'!G82+'Alternativ 5'!G83+'Alternativ 5'!G92)))*1000/L41</f>
        <v>#DIV/0!</v>
      </c>
    </row>
    <row r="63" spans="1:41">
      <c r="A63" s="6"/>
      <c r="Z63" s="62"/>
      <c r="AJ63" s="9" t="s">
        <v>624</v>
      </c>
      <c r="AK63" s="14" t="e">
        <f>(('Alternativ 1'!G89))*1000/D41</f>
        <v>#DIV/0!</v>
      </c>
      <c r="AL63" s="14" t="e">
        <f>(('Alternativ 2'!G89))*1000/F41</f>
        <v>#DIV/0!</v>
      </c>
      <c r="AM63" s="14" t="e">
        <f>(('Alternativ 3'!G89))*1000/H41</f>
        <v>#DIV/0!</v>
      </c>
      <c r="AN63" s="14" t="e">
        <f>(('Alternativ 4'!G89))*1000/J41</f>
        <v>#DIV/0!</v>
      </c>
      <c r="AO63" s="14" t="e">
        <f>(('Alternativ 5'!G89))*1000/L41</f>
        <v>#DIV/0!</v>
      </c>
    </row>
    <row r="64" spans="1:41">
      <c r="A64" s="6"/>
      <c r="AJ64" s="9" t="s">
        <v>41</v>
      </c>
      <c r="AK64" s="14" t="e">
        <f>Y19*1000/D41</f>
        <v>#DIV/0!</v>
      </c>
      <c r="AL64" s="14" t="e">
        <f>Z19*1000/F41</f>
        <v>#DIV/0!</v>
      </c>
      <c r="AM64" s="247" t="e">
        <f>AA19*1000/H41</f>
        <v>#DIV/0!</v>
      </c>
      <c r="AN64" s="14" t="e">
        <f>AB19*1000/J41</f>
        <v>#DIV/0!</v>
      </c>
      <c r="AO64" s="14" t="e">
        <f>AC19*1000/L41</f>
        <v>#DIV/0!</v>
      </c>
    </row>
    <row r="65" spans="3:41">
      <c r="Y65" s="17"/>
      <c r="Z65" s="17"/>
      <c r="AA65" s="17"/>
      <c r="AJ65" s="9" t="s">
        <v>45</v>
      </c>
      <c r="AK65" s="14" t="e">
        <f>Y21*1000/D41</f>
        <v>#DIV/0!</v>
      </c>
      <c r="AL65" s="14" t="e">
        <f>Z21*1000/F41</f>
        <v>#DIV/0!</v>
      </c>
      <c r="AM65" s="247" t="e">
        <f>AA21*1000/H41</f>
        <v>#DIV/0!</v>
      </c>
      <c r="AN65" s="14" t="e">
        <f>AB21*1000/J41</f>
        <v>#DIV/0!</v>
      </c>
      <c r="AO65" s="14" t="e">
        <f>AC21*1000/L41</f>
        <v>#DIV/0!</v>
      </c>
    </row>
    <row r="66" spans="3:41">
      <c r="Y66" s="27"/>
      <c r="Z66" s="27"/>
      <c r="AA66" s="27"/>
      <c r="AK66" s="62" t="e">
        <f>SUM(AK60:AK65)=(D22-D20)*1000/D41</f>
        <v>#DIV/0!</v>
      </c>
      <c r="AL66" s="62" t="e">
        <f>SUM(AL60:AL65)=(F22-F20)*1000/F41</f>
        <v>#DIV/0!</v>
      </c>
      <c r="AM66" s="62" t="e">
        <f>SUM(AM60:AM65)=(H22-H20)*1000/H41</f>
        <v>#DIV/0!</v>
      </c>
      <c r="AN66" s="62" t="e">
        <f>SUM(AN60:AN65)=(J22-J20)*1000/J41</f>
        <v>#DIV/0!</v>
      </c>
      <c r="AO66" s="62" t="e">
        <f>SUM(AO60:AO65)=(L22-L20)*1000/L41</f>
        <v>#DIV/0!</v>
      </c>
    </row>
    <row r="67" spans="3:41" ht="45.75" customHeight="1">
      <c r="C67" s="289" t="s">
        <v>66</v>
      </c>
      <c r="D67" s="289"/>
      <c r="E67" s="289" t="s">
        <v>67</v>
      </c>
      <c r="F67" s="289"/>
      <c r="G67" s="289"/>
      <c r="H67" s="289"/>
      <c r="J67" s="289" t="s">
        <v>68</v>
      </c>
      <c r="K67" s="289"/>
      <c r="L67" s="289"/>
      <c r="M67" s="289"/>
      <c r="Y67" s="2" t="s">
        <v>65</v>
      </c>
      <c r="Z67" s="80">
        <f>_xlfn.XLOOKUP(MAX(Z69:AD69),Z69:AD69,Z70:AD70)</f>
        <v>0</v>
      </c>
      <c r="AA67" s="133"/>
      <c r="AK67" s="62" t="e">
        <f>SUM(AK60:AK65)</f>
        <v>#DIV/0!</v>
      </c>
      <c r="AL67" s="62" t="e">
        <f t="shared" ref="AL67:AO67" si="8">SUM(AL60:AL65)</f>
        <v>#DIV/0!</v>
      </c>
      <c r="AM67" s="62" t="e">
        <f t="shared" si="8"/>
        <v>#DIV/0!</v>
      </c>
      <c r="AN67" s="62" t="e">
        <f t="shared" si="8"/>
        <v>#DIV/0!</v>
      </c>
      <c r="AO67" s="62" t="e">
        <f t="shared" si="8"/>
        <v>#DIV/0!</v>
      </c>
    </row>
    <row r="68" spans="3:41" ht="15">
      <c r="E68" s="5"/>
      <c r="Z68" s="134" t="s">
        <v>22</v>
      </c>
      <c r="AA68" s="134" t="s">
        <v>23</v>
      </c>
      <c r="AB68" s="134" t="s">
        <v>24</v>
      </c>
      <c r="AC68" s="134" t="s">
        <v>25</v>
      </c>
      <c r="AD68" s="134" t="s">
        <v>26</v>
      </c>
      <c r="AG68" s="17"/>
      <c r="AH68" s="17"/>
      <c r="AI68" s="17"/>
    </row>
    <row r="69" spans="3:41" ht="15">
      <c r="E69" s="5"/>
      <c r="Y69" s="2" t="s">
        <v>56</v>
      </c>
      <c r="Z69" s="149">
        <f>E41-E38</f>
        <v>0</v>
      </c>
      <c r="AA69" s="149">
        <f>G41-G38</f>
        <v>0</v>
      </c>
      <c r="AB69" s="149">
        <f>I41-I38</f>
        <v>0</v>
      </c>
      <c r="AC69" s="149">
        <f>K41-K38</f>
        <v>0</v>
      </c>
      <c r="AD69" s="150">
        <f>M41-M38</f>
        <v>0</v>
      </c>
      <c r="AG69" s="17"/>
      <c r="AH69" s="17"/>
      <c r="AI69" s="17"/>
    </row>
    <row r="70" spans="3:41" ht="15">
      <c r="E70" s="5"/>
      <c r="Y70" s="2" t="s">
        <v>613</v>
      </c>
      <c r="Z70" s="134">
        <f>IFERROR('Alternativ 1'!AA82/Z69,0)*1000</f>
        <v>0</v>
      </c>
      <c r="AA70" s="134">
        <f>IFERROR('Alternativ 2'!AA82/AA69,0)*1000</f>
        <v>0</v>
      </c>
      <c r="AB70" s="134">
        <f>IFERROR('Alternativ 3'!AA82/AB69,0)*1000</f>
        <v>0</v>
      </c>
      <c r="AC70" s="134">
        <f>IFERROR('Alternativ 4'!AA82/AC69,0)*1000</f>
        <v>0</v>
      </c>
      <c r="AD70" s="17">
        <f>IFERROR('Alternativ 5'!AA82/AD69,0)*1000</f>
        <v>0</v>
      </c>
      <c r="AG70" s="17"/>
      <c r="AH70" s="17"/>
      <c r="AI70" s="17"/>
      <c r="AL70" s="2">
        <f>Z11</f>
        <v>1</v>
      </c>
      <c r="AM70" s="2">
        <f>AA11</f>
        <v>1</v>
      </c>
      <c r="AN70" s="2">
        <f>AB11</f>
        <v>1</v>
      </c>
      <c r="AO70" s="2">
        <f>AC11</f>
        <v>1</v>
      </c>
    </row>
    <row r="71" spans="3:41" ht="62.1" customHeight="1">
      <c r="E71" s="18"/>
      <c r="X71" s="132"/>
      <c r="Z71" s="298" t="s">
        <v>611</v>
      </c>
      <c r="AA71" s="299"/>
      <c r="AB71" s="296"/>
      <c r="AC71" s="297"/>
      <c r="AJ71" s="2" t="s">
        <v>196</v>
      </c>
      <c r="AK71" s="2" t="s">
        <v>22</v>
      </c>
      <c r="AL71" s="2" t="str">
        <f>IF(Z11=1,"Alternativ 2","")</f>
        <v>Alternativ 2</v>
      </c>
      <c r="AM71" s="2" t="str">
        <f>IF(AA11=1,"Alternativ 3","")</f>
        <v>Alternativ 3</v>
      </c>
      <c r="AN71" s="2" t="str">
        <f>IF(AB11=1,"Alternativ 4","")</f>
        <v>Alternativ 4</v>
      </c>
      <c r="AO71" s="2" t="str">
        <f>IF(AC11=1,"Alternativ 5","")</f>
        <v>Alternativ 5</v>
      </c>
    </row>
    <row r="72" spans="3:41">
      <c r="E72" s="18"/>
      <c r="Y72" s="2" t="s">
        <v>615</v>
      </c>
      <c r="Z72" s="134" t="s">
        <v>22</v>
      </c>
      <c r="AA72" s="133" t="str">
        <f>IF(Z11=1,"Alternativ 2","")</f>
        <v>Alternativ 2</v>
      </c>
      <c r="AB72" s="133" t="str">
        <f>IF(AA11=1,"Alternativ 3","")</f>
        <v>Alternativ 3</v>
      </c>
      <c r="AC72" s="133" t="str">
        <f>IF(AB11=1,"Alternativ 4","")</f>
        <v>Alternativ 4</v>
      </c>
      <c r="AD72" s="133" t="str">
        <f>IF(AC11=1,"Alternativ 5","")</f>
        <v>Alternativ 5</v>
      </c>
      <c r="AJ72" s="2" t="s">
        <v>632</v>
      </c>
      <c r="AK72" s="62" t="e">
        <f>AK60+AK61+AK62</f>
        <v>#DIV/0!</v>
      </c>
      <c r="AL72" s="62" t="e">
        <f>IF(AL$70=1,(AL60+AL61+AL62),NA())</f>
        <v>#DIV/0!</v>
      </c>
      <c r="AM72" s="62" t="e">
        <f>IF(AM$70=1,(AM60+AM61+AM62),NA())</f>
        <v>#DIV/0!</v>
      </c>
      <c r="AN72" s="62" t="e">
        <f>IF(AN$70=1,(AN60+AN61+AN62),NA())</f>
        <v>#DIV/0!</v>
      </c>
      <c r="AO72" s="62" t="e">
        <f>IF(AO$70=1,(AO60+AO61+AO62),NA())</f>
        <v>#DIV/0!</v>
      </c>
    </row>
    <row r="73" spans="3:41">
      <c r="X73" s="2">
        <v>2020</v>
      </c>
      <c r="Y73" s="133">
        <f>SUM(Z67:AA67)</f>
        <v>0</v>
      </c>
      <c r="Z73" s="133" t="e">
        <f>IF('Generelt om prosjektet'!$C$27=Resultat!X73,IFERROR(Resultat!$D$17/$Z$69*1000,NA()),NA())</f>
        <v>#N/A</v>
      </c>
      <c r="AA73" s="133" t="e">
        <f>IF(AND('Generelt om prosjektet'!$C$27=X73,$Z$11=1),IFERROR($F$17/$AA$69*1000,NA()),NA())</f>
        <v>#N/A</v>
      </c>
      <c r="AB73" s="133" t="e">
        <f>IF(AND('Generelt om prosjektet'!$C$27=Resultat!X73,$AA$11=1),IFERROR($H$17/$AB$69*1000,NA()),NA())</f>
        <v>#N/A</v>
      </c>
      <c r="AC73" s="133" t="e">
        <f>IF(AND('Generelt om prosjektet'!$C$27=Resultat!X73,$AB$11=1),IFERROR($J$17/$AC$69*1000,NA()),NA())</f>
        <v>#N/A</v>
      </c>
      <c r="AD73" s="2" t="e">
        <f>IF(AND('Generelt om prosjektet'!$C$27=Resultat!X73,$AC$11=1),IFERROR($L$17/$AD$69*1000,NA()),NA())</f>
        <v>#N/A</v>
      </c>
      <c r="AI73" s="435" t="s">
        <v>634</v>
      </c>
      <c r="AJ73" s="2">
        <v>1</v>
      </c>
      <c r="AK73" s="62" t="e">
        <f>AK72+(AK$63+AK$64)/50</f>
        <v>#DIV/0!</v>
      </c>
      <c r="AL73" s="62" t="e">
        <f>IF(AL$70=1,(AL$63+AL$64)/50+AL72,NA())</f>
        <v>#DIV/0!</v>
      </c>
      <c r="AM73" s="62" t="e">
        <f>IF(AM$70=1,(AM$63+AM$64)/50+AM72,NA())</f>
        <v>#DIV/0!</v>
      </c>
      <c r="AN73" s="62" t="e">
        <f>IF(AN$70=1,(AN$63+AN$64)/50+AN72,NA())</f>
        <v>#DIV/0!</v>
      </c>
      <c r="AO73" s="62" t="e">
        <f>IF(AO$70=1,(AO$63+AO$64)/50+AO72,NA())</f>
        <v>#DIV/0!</v>
      </c>
    </row>
    <row r="74" spans="3:41">
      <c r="X74" s="2">
        <v>2021</v>
      </c>
      <c r="Y74" s="133">
        <f t="shared" ref="Y74:Y82" si="9">$Y$73 + ($Y$83 - $Y$73) * ((X74 - $X$73) / ($X$83 - $X$73))</f>
        <v>0</v>
      </c>
      <c r="Z74" s="133" t="e">
        <f>IF('Generelt om prosjektet'!$C$27=Resultat!X74,IFERROR(Resultat!$D$17/$Z$69*1000,NA()),NA())</f>
        <v>#N/A</v>
      </c>
      <c r="AA74" s="133" t="e">
        <f>IF(AND('Generelt om prosjektet'!$C$27=X74,$Z$11=1),IFERROR($F$17/$AA$69*1000,NA()),NA())</f>
        <v>#N/A</v>
      </c>
      <c r="AB74" s="133" t="e">
        <f>IF(AND('Generelt om prosjektet'!$C$27=Resultat!X74,$AA$11=1),IFERROR($H$17/$AB$69*1000,NA()),NA())</f>
        <v>#N/A</v>
      </c>
      <c r="AC74" s="133" t="e">
        <f>IF(AND('Generelt om prosjektet'!$C$27=Resultat!X74,$AB$11=1),IFERROR($J$17/$AC$69*1000,NA()),NA())</f>
        <v>#N/A</v>
      </c>
      <c r="AD74" s="2" t="e">
        <f>IF(AND('Generelt om prosjektet'!$C$27=Resultat!X74,$AC$11=1),IFERROR($L$17/$AD$69*1000,NA()),NA())</f>
        <v>#N/A</v>
      </c>
      <c r="AI74" s="435"/>
      <c r="AJ74" s="2">
        <v>2</v>
      </c>
      <c r="AK74" s="62" t="e">
        <f>AK73+(AK$63+AK$64)/50</f>
        <v>#DIV/0!</v>
      </c>
      <c r="AL74" s="62" t="e">
        <f>IF(AL$70=1,(AL$63+AL$64)/50+AL73,NA())</f>
        <v>#DIV/0!</v>
      </c>
      <c r="AM74" s="62" t="e">
        <f>IF(AM$70=1,(AM$63+AM$64)/50+AM73,NA())</f>
        <v>#DIV/0!</v>
      </c>
      <c r="AN74" s="62" t="e">
        <f>IF(AN$70=1,(AN$63+AN$64)/50+AN73,NA())</f>
        <v>#DIV/0!</v>
      </c>
      <c r="AO74" s="62" t="e">
        <f>IF(AO$70=1,(AO$63+AO$64)/50+AO73,NA())</f>
        <v>#DIV/0!</v>
      </c>
    </row>
    <row r="75" spans="3:41">
      <c r="X75" s="2">
        <v>2022</v>
      </c>
      <c r="Y75" s="133">
        <f t="shared" si="9"/>
        <v>0</v>
      </c>
      <c r="Z75" s="133" t="e">
        <f>IF('Generelt om prosjektet'!$C$27=Resultat!X75,IFERROR(Resultat!$D$17/$Z$69*1000,NA()),NA())</f>
        <v>#N/A</v>
      </c>
      <c r="AA75" s="133" t="e">
        <f>IF(AND('Generelt om prosjektet'!$C$27=X75,$Z$11=1),IFERROR($F$17/$AA$69*1000,NA()),NA())</f>
        <v>#N/A</v>
      </c>
      <c r="AB75" s="133" t="e">
        <f>IF(AND('Generelt om prosjektet'!$C$27=Resultat!X75,$AA$11=1),IFERROR($H$17/$AB$69*1000,NA()),NA())</f>
        <v>#N/A</v>
      </c>
      <c r="AC75" s="133" t="e">
        <f>IF(AND('Generelt om prosjektet'!$C$27=Resultat!X75,$AB$11=1),IFERROR($J$17/$AC$69*1000,NA()),NA())</f>
        <v>#N/A</v>
      </c>
      <c r="AD75" s="2" t="e">
        <f>IF(AND('Generelt om prosjektet'!$C$27=Resultat!X75,$AC$11=1),IFERROR($L$17/$AD$69*1000,NA()),NA())</f>
        <v>#N/A</v>
      </c>
      <c r="AI75" s="435"/>
      <c r="AJ75" s="2">
        <v>3</v>
      </c>
      <c r="AK75" s="62" t="e">
        <f t="shared" ref="AK75:AK122" si="10">AK74+(AK$63+AK$64)/50</f>
        <v>#DIV/0!</v>
      </c>
      <c r="AL75" s="62" t="e">
        <f>IF(AL$70=1,(AL$63+AL$64)/50+AL74,NA())</f>
        <v>#DIV/0!</v>
      </c>
      <c r="AM75" s="62" t="e">
        <f>IF(AM$70=1,(AM$63+AM$64)/50+AM74,NA())</f>
        <v>#DIV/0!</v>
      </c>
      <c r="AN75" s="62" t="e">
        <f>IF(AN$70=1,(AN$63+AN$64)/50+AN74,NA())</f>
        <v>#DIV/0!</v>
      </c>
      <c r="AO75" s="62" t="e">
        <f>IF(AO$70=1,(AO$63+AO$64)/50+AO74,NA())</f>
        <v>#DIV/0!</v>
      </c>
    </row>
    <row r="76" spans="3:41">
      <c r="X76" s="2">
        <v>2023</v>
      </c>
      <c r="Y76" s="133">
        <f t="shared" si="9"/>
        <v>0</v>
      </c>
      <c r="Z76" s="133" t="e">
        <f>IF('Generelt om prosjektet'!$C$27=Resultat!X76,IFERROR(Resultat!$D$17/$Z$69*1000,NA()),NA())</f>
        <v>#N/A</v>
      </c>
      <c r="AA76" s="133" t="e">
        <f>IF(AND('Generelt om prosjektet'!$C$27=X76,$Z$11=1),IFERROR($F$17/$AA$69*1000,NA()),NA())</f>
        <v>#N/A</v>
      </c>
      <c r="AB76" s="133" t="e">
        <f>IF(AND('Generelt om prosjektet'!$C$27=Resultat!X76,$AA$11=1),IFERROR($H$17/$AB$69*1000,NA()),NA())</f>
        <v>#N/A</v>
      </c>
      <c r="AC76" s="133" t="e">
        <f>IF(AND('Generelt om prosjektet'!$C$27=Resultat!X76,$AB$11=1),IFERROR($J$17/$AC$69*1000,NA()),NA())</f>
        <v>#N/A</v>
      </c>
      <c r="AD76" s="2" t="e">
        <f>IF(AND('Generelt om prosjektet'!$C$27=Resultat!X76,$AC$11=1),IFERROR($L$17/$AD$69*1000,NA()),NA())</f>
        <v>#N/A</v>
      </c>
      <c r="AI76" s="435"/>
      <c r="AJ76" s="2">
        <v>4</v>
      </c>
      <c r="AK76" s="62" t="e">
        <f t="shared" si="10"/>
        <v>#DIV/0!</v>
      </c>
      <c r="AL76" s="62" t="e">
        <f>IF(AL$70=1,(AL$63+AL$64)/50+AL75,NA())</f>
        <v>#DIV/0!</v>
      </c>
      <c r="AM76" s="62" t="e">
        <f>IF(AM$70=1,(AM$63+AM$64)/50+AM75,NA())</f>
        <v>#DIV/0!</v>
      </c>
      <c r="AN76" s="62" t="e">
        <f>IF(AN$70=1,(AN$63+AN$64)/50+AN75,NA())</f>
        <v>#DIV/0!</v>
      </c>
      <c r="AO76" s="62" t="e">
        <f>IF(AO$70=1,(AO$63+AO$64)/50+AO75,NA())</f>
        <v>#DIV/0!</v>
      </c>
    </row>
    <row r="77" spans="3:41">
      <c r="X77" s="2">
        <v>2024</v>
      </c>
      <c r="Y77" s="133">
        <f t="shared" si="9"/>
        <v>0</v>
      </c>
      <c r="Z77" s="133" t="e">
        <f>IF('Generelt om prosjektet'!$C$27=Resultat!X77,IFERROR(Resultat!$D$17/$Z$69*1000,NA()),NA())</f>
        <v>#N/A</v>
      </c>
      <c r="AA77" s="133" t="e">
        <f>IF(AND('Generelt om prosjektet'!$C$27=X77,$Z$11=1),IFERROR($F$17/$AA$69*1000,NA()),NA())</f>
        <v>#N/A</v>
      </c>
      <c r="AB77" s="133" t="e">
        <f>IF(AND('Generelt om prosjektet'!$C$27=Resultat!X77,$AA$11=1),IFERROR($H$17/$AB$69*1000,NA()),NA())</f>
        <v>#N/A</v>
      </c>
      <c r="AC77" s="133" t="e">
        <f>IF(AND('Generelt om prosjektet'!$C$27=Resultat!X77,$AB$11=1),IFERROR($J$17/$AC$69*1000,NA()),NA())</f>
        <v>#N/A</v>
      </c>
      <c r="AD77" s="2" t="e">
        <f>IF(AND('Generelt om prosjektet'!$C$27=Resultat!X77,$AC$11=1),IFERROR($L$17/$AD$69*1000,NA()),NA())</f>
        <v>#N/A</v>
      </c>
      <c r="AI77" s="435"/>
      <c r="AJ77" s="2">
        <v>5</v>
      </c>
      <c r="AK77" s="62" t="e">
        <f t="shared" si="10"/>
        <v>#DIV/0!</v>
      </c>
      <c r="AL77" s="62" t="e">
        <f>IF(AL$70=1,(AL$63+AL$64)/50+AL76,NA())</f>
        <v>#DIV/0!</v>
      </c>
      <c r="AM77" s="62" t="e">
        <f>IF(AM$70=1,(AM$63+AM$64)/50+AM76,NA())</f>
        <v>#DIV/0!</v>
      </c>
      <c r="AN77" s="62" t="e">
        <f>IF(AN$70=1,(AN$63+AN$64)/50+AN76,NA())</f>
        <v>#DIV/0!</v>
      </c>
      <c r="AO77" s="62" t="e">
        <f>IF(AO$70=1,(AO$63+AO$64)/50+AO76,NA())</f>
        <v>#DIV/0!</v>
      </c>
    </row>
    <row r="78" spans="3:41">
      <c r="X78" s="2">
        <v>2025</v>
      </c>
      <c r="Y78" s="133">
        <f t="shared" si="9"/>
        <v>0</v>
      </c>
      <c r="Z78" s="133" t="e">
        <f>IF('Generelt om prosjektet'!$C$27=Resultat!X78,IFERROR(Resultat!$D$17/$Z$69*1000,NA()),NA())</f>
        <v>#N/A</v>
      </c>
      <c r="AA78" s="133" t="e">
        <f>IF(AND('Generelt om prosjektet'!$C$27=X78,$Z$11=1),IFERROR($F$17/$AA$69*1000,NA()),NA())</f>
        <v>#N/A</v>
      </c>
      <c r="AB78" s="133" t="e">
        <f>IF(AND('Generelt om prosjektet'!$C$27=Resultat!X78,$AA$11=1),IFERROR($H$17/$AB$69*1000,NA()),NA())</f>
        <v>#N/A</v>
      </c>
      <c r="AC78" s="133" t="e">
        <f>IF(AND('Generelt om prosjektet'!$C$27=Resultat!X78,$AB$11=1),IFERROR($J$17/$AC$69*1000,NA()),NA())</f>
        <v>#N/A</v>
      </c>
      <c r="AD78" s="2" t="e">
        <f>IF(AND('Generelt om prosjektet'!$C$27=Resultat!X78,$AC$11=1),IFERROR($L$17/$AD$69*1000,NA()),NA())</f>
        <v>#N/A</v>
      </c>
      <c r="AI78" s="435"/>
      <c r="AJ78" s="2">
        <v>6</v>
      </c>
      <c r="AK78" s="62" t="e">
        <f t="shared" si="10"/>
        <v>#DIV/0!</v>
      </c>
      <c r="AL78" s="62" t="e">
        <f>IF(AL$70=1,(AL$63+AL$64)/50+AL77,NA())</f>
        <v>#DIV/0!</v>
      </c>
      <c r="AM78" s="62" t="e">
        <f>IF(AM$70=1,(AM$63+AM$64)/50+AM77,NA())</f>
        <v>#DIV/0!</v>
      </c>
      <c r="AN78" s="62" t="e">
        <f>IF(AN$70=1,(AN$63+AN$64)/50+AN77,NA())</f>
        <v>#DIV/0!</v>
      </c>
      <c r="AO78" s="62" t="e">
        <f>IF(AO$70=1,(AO$63+AO$64)/50+AO77,NA())</f>
        <v>#DIV/0!</v>
      </c>
    </row>
    <row r="79" spans="3:41">
      <c r="X79" s="2">
        <v>2026</v>
      </c>
      <c r="Y79" s="133">
        <f t="shared" si="9"/>
        <v>0</v>
      </c>
      <c r="Z79" s="133" t="e">
        <f>IF('Generelt om prosjektet'!$C$27=Resultat!X79,IFERROR(Resultat!$D$17/$Z$69*1000,NA()),NA())</f>
        <v>#N/A</v>
      </c>
      <c r="AA79" s="133" t="e">
        <f>IF(AND('Generelt om prosjektet'!$C$27=X79,$Z$11=1),IFERROR($F$17/$AA$69*1000,NA()),NA())</f>
        <v>#N/A</v>
      </c>
      <c r="AB79" s="133" t="e">
        <f>IF(AND('Generelt om prosjektet'!$C$27=Resultat!X79,$AA$11=1),IFERROR($H$17/$AB$69*1000,NA()),NA())</f>
        <v>#N/A</v>
      </c>
      <c r="AC79" s="133" t="e">
        <f>IF(AND('Generelt om prosjektet'!$C$27=Resultat!X79,$AB$11=1),IFERROR($J$17/$AC$69*1000,NA()),NA())</f>
        <v>#N/A</v>
      </c>
      <c r="AD79" s="2" t="e">
        <f>IF(AND('Generelt om prosjektet'!$C$27=Resultat!X79,$AC$11=1),IFERROR($L$17/$AD$69*1000,NA()),NA())</f>
        <v>#N/A</v>
      </c>
      <c r="AI79" s="435"/>
      <c r="AJ79" s="2">
        <v>7</v>
      </c>
      <c r="AK79" s="62" t="e">
        <f t="shared" si="10"/>
        <v>#DIV/0!</v>
      </c>
      <c r="AL79" s="62" t="e">
        <f>IF(AL$70=1,(AL$63+AL$64)/50+AL78,NA())</f>
        <v>#DIV/0!</v>
      </c>
      <c r="AM79" s="62" t="e">
        <f>IF(AM$70=1,(AM$63+AM$64)/50+AM78,NA())</f>
        <v>#DIV/0!</v>
      </c>
      <c r="AN79" s="62" t="e">
        <f>IF(AN$70=1,(AN$63+AN$64)/50+AN78,NA())</f>
        <v>#DIV/0!</v>
      </c>
      <c r="AO79" s="62" t="e">
        <f>IF(AO$70=1,(AO$63+AO$64)/50+AO78,NA())</f>
        <v>#DIV/0!</v>
      </c>
    </row>
    <row r="80" spans="3:41">
      <c r="X80" s="2">
        <v>2027</v>
      </c>
      <c r="Y80" s="133">
        <f t="shared" si="9"/>
        <v>0</v>
      </c>
      <c r="Z80" s="133" t="e">
        <f>IF('Generelt om prosjektet'!$C$27=Resultat!X80,IFERROR(Resultat!$D$17/$Z$69*1000,NA()),NA())</f>
        <v>#N/A</v>
      </c>
      <c r="AA80" s="133" t="e">
        <f>IF(AND('Generelt om prosjektet'!$C$27=X80,$Z$11=1),IFERROR($F$17/$AA$69*1000,NA()),NA())</f>
        <v>#N/A</v>
      </c>
      <c r="AB80" s="133" t="e">
        <f>IF(AND('Generelt om prosjektet'!$C$27=Resultat!X80,$AA$11=1),IFERROR($H$17/$AB$69*1000,NA()),NA())</f>
        <v>#N/A</v>
      </c>
      <c r="AC80" s="133" t="e">
        <f>IF(AND('Generelt om prosjektet'!$C$27=Resultat!X80,$AB$11=1),IFERROR($J$17/$AC$69*1000,NA()),NA())</f>
        <v>#N/A</v>
      </c>
      <c r="AD80" s="2" t="e">
        <f>IF(AND('Generelt om prosjektet'!$C$27=Resultat!X80,$AC$11=1),IFERROR($L$17/$AD$69*1000,NA()),NA())</f>
        <v>#N/A</v>
      </c>
      <c r="AI80" s="435"/>
      <c r="AJ80" s="2">
        <v>8</v>
      </c>
      <c r="AK80" s="62" t="e">
        <f t="shared" si="10"/>
        <v>#DIV/0!</v>
      </c>
      <c r="AL80" s="62" t="e">
        <f>IF(AL$70=1,(AL$63+AL$64)/50+AL79,NA())</f>
        <v>#DIV/0!</v>
      </c>
      <c r="AM80" s="62" t="e">
        <f>IF(AM$70=1,(AM$63+AM$64)/50+AM79,NA())</f>
        <v>#DIV/0!</v>
      </c>
      <c r="AN80" s="62" t="e">
        <f>IF(AN$70=1,(AN$63+AN$64)/50+AN79,NA())</f>
        <v>#DIV/0!</v>
      </c>
      <c r="AO80" s="62" t="e">
        <f>IF(AO$70=1,(AO$63+AO$64)/50+AO79,NA())</f>
        <v>#DIV/0!</v>
      </c>
    </row>
    <row r="81" spans="9:41">
      <c r="X81" s="2">
        <v>2028</v>
      </c>
      <c r="Y81" s="133">
        <f t="shared" si="9"/>
        <v>0</v>
      </c>
      <c r="Z81" s="133" t="e">
        <f>IF('Generelt om prosjektet'!$C$27=Resultat!X81,IFERROR(Resultat!$D$17/$Z$69*1000,NA()),NA())</f>
        <v>#N/A</v>
      </c>
      <c r="AA81" s="133" t="e">
        <f>IF(AND('Generelt om prosjektet'!$C$27=X81,$Z$11=1),IFERROR($F$17/$AA$69*1000,NA()),NA())</f>
        <v>#N/A</v>
      </c>
      <c r="AB81" s="133" t="e">
        <f>IF(AND('Generelt om prosjektet'!$C$27=Resultat!X81,$AA$11=1),IFERROR($H$17/$AB$69*1000,NA()),NA())</f>
        <v>#N/A</v>
      </c>
      <c r="AC81" s="133" t="e">
        <f>IF(AND('Generelt om prosjektet'!$C$27=Resultat!X81,$AB$11=1),IFERROR($J$17/$AC$69*1000,NA()),NA())</f>
        <v>#N/A</v>
      </c>
      <c r="AD81" s="2" t="e">
        <f>IF(AND('Generelt om prosjektet'!$C$27=Resultat!X81,$AC$11=1),IFERROR($L$17/$AD$69*1000,NA()),NA())</f>
        <v>#N/A</v>
      </c>
      <c r="AI81" s="435"/>
      <c r="AJ81" s="2">
        <v>9</v>
      </c>
      <c r="AK81" s="62" t="e">
        <f t="shared" si="10"/>
        <v>#DIV/0!</v>
      </c>
      <c r="AL81" s="62" t="e">
        <f>IF(AL$70=1,(AL$63+AL$64)/50+AL80,NA())</f>
        <v>#DIV/0!</v>
      </c>
      <c r="AM81" s="62" t="e">
        <f>IF(AM$70=1,(AM$63+AM$64)/50+AM80,NA())</f>
        <v>#DIV/0!</v>
      </c>
      <c r="AN81" s="62" t="e">
        <f>IF(AN$70=1,(AN$63+AN$64)/50+AN80,NA())</f>
        <v>#DIV/0!</v>
      </c>
      <c r="AO81" s="62" t="e">
        <f>IF(AO$70=1,(AO$63+AO$64)/50+AO80,NA())</f>
        <v>#DIV/0!</v>
      </c>
    </row>
    <row r="82" spans="9:41">
      <c r="X82" s="2">
        <v>2029</v>
      </c>
      <c r="Y82" s="133">
        <f t="shared" si="9"/>
        <v>0</v>
      </c>
      <c r="Z82" s="133" t="e">
        <f>IF('Generelt om prosjektet'!$C$27=Resultat!X82,IFERROR(Resultat!$D$17/$Z$69*1000,NA()),NA())</f>
        <v>#N/A</v>
      </c>
      <c r="AA82" s="133" t="e">
        <f>IF(AND('Generelt om prosjektet'!$C$27=X82,$Z$11=1),IFERROR($F$17/$AA$69*1000,NA()),NA())</f>
        <v>#N/A</v>
      </c>
      <c r="AB82" s="133" t="e">
        <f>IF(AND('Generelt om prosjektet'!$C$27=Resultat!X82,$AA$11=1),IFERROR($H$17/$AB$69*1000,NA()),NA())</f>
        <v>#N/A</v>
      </c>
      <c r="AC82" s="133" t="e">
        <f>IF(AND('Generelt om prosjektet'!$C$27=Resultat!X82,$AB$11=1),IFERROR($J$17/$AC$69*1000,NA()),NA())</f>
        <v>#N/A</v>
      </c>
      <c r="AD82" s="2" t="e">
        <f>IF(AND('Generelt om prosjektet'!$C$27=Resultat!X82,$AC$11=1),IFERROR($L$17/$AD$69*1000,NA()),NA())</f>
        <v>#N/A</v>
      </c>
      <c r="AI82" s="435"/>
      <c r="AJ82" s="2">
        <v>10</v>
      </c>
      <c r="AK82" s="62" t="e">
        <f t="shared" si="10"/>
        <v>#DIV/0!</v>
      </c>
      <c r="AL82" s="62" t="e">
        <f>IF(AL$70=1,(AL$63+AL$64)/50+AL81,NA())</f>
        <v>#DIV/0!</v>
      </c>
      <c r="AM82" s="62" t="e">
        <f>IF(AM$70=1,(AM$63+AM$64)/50+AM81,NA())</f>
        <v>#DIV/0!</v>
      </c>
      <c r="AN82" s="62" t="e">
        <f>IF(AN$70=1,(AN$63+AN$64)/50+AN81,NA())</f>
        <v>#DIV/0!</v>
      </c>
      <c r="AO82" s="62" t="e">
        <f>IF(AO$70=1,(AO$63+AO$64)/50+AO81,NA())</f>
        <v>#DIV/0!</v>
      </c>
    </row>
    <row r="83" spans="9:41">
      <c r="I83" s="428"/>
      <c r="J83" s="430" t="s">
        <v>615</v>
      </c>
      <c r="X83" s="2">
        <v>2030</v>
      </c>
      <c r="Y83" s="133">
        <f>Y73*0.5</f>
        <v>0</v>
      </c>
      <c r="Z83" s="133" t="e">
        <f>IF('Generelt om prosjektet'!$C$27=Resultat!X83,IFERROR(Resultat!$D$17/$Z$69*1000,NA()),NA())</f>
        <v>#N/A</v>
      </c>
      <c r="AA83" s="133" t="e">
        <f>IF(AND('Generelt om prosjektet'!$C$27=X83,$Z$11=1),IFERROR($F$17/$AA$69*1000,NA()),NA())</f>
        <v>#N/A</v>
      </c>
      <c r="AB83" s="133" t="e">
        <f>IF(AND('Generelt om prosjektet'!$C$27=Resultat!X83,$AA$11=1),IFERROR($H$17/$AB$69*1000,NA()),NA())</f>
        <v>#N/A</v>
      </c>
      <c r="AC83" s="133" t="e">
        <f>IF(AND('Generelt om prosjektet'!$C$27=Resultat!X83,$AB$11=1),IFERROR($J$17/$AC$69*1000,NA()),NA())</f>
        <v>#N/A</v>
      </c>
      <c r="AD83" s="2" t="e">
        <f>IF(AND('Generelt om prosjektet'!$C$27=Resultat!X83,$AC$11=1),IFERROR($L$17/$AD$69*1000,NA()),NA())</f>
        <v>#N/A</v>
      </c>
      <c r="AI83" s="435"/>
      <c r="AJ83" s="2">
        <v>11</v>
      </c>
      <c r="AK83" s="62" t="e">
        <f t="shared" si="10"/>
        <v>#DIV/0!</v>
      </c>
      <c r="AL83" s="62" t="e">
        <f>IF(AL$70=1,(AL$63+AL$64)/50+AL82,NA())</f>
        <v>#DIV/0!</v>
      </c>
      <c r="AM83" s="62" t="e">
        <f>IF(AM$70=1,(AM$63+AM$64)/50+AM82,NA())</f>
        <v>#DIV/0!</v>
      </c>
      <c r="AN83" s="62" t="e">
        <f>IF(AN$70=1,(AN$63+AN$64)/50+AN82,NA())</f>
        <v>#DIV/0!</v>
      </c>
      <c r="AO83" s="62" t="e">
        <f>IF(AO$70=1,(AO$63+AO$64)/50+AO82,NA())</f>
        <v>#DIV/0!</v>
      </c>
    </row>
    <row r="84" spans="9:41">
      <c r="I84" s="428"/>
      <c r="J84" s="430" t="str">
        <f>IF(Sheet1!E9=1,Sheet1!F9,"")</f>
        <v>Alternativ 1</v>
      </c>
      <c r="X84" s="2">
        <v>2031</v>
      </c>
      <c r="Y84" s="133">
        <f t="shared" ref="Y84:Y102" si="11">$Y$83 + ($Y$103 - $Y$83) * ((X84 - $X$83) / ($X$103 - $X$83))</f>
        <v>0</v>
      </c>
      <c r="Z84" s="133" t="e">
        <f>IF('Generelt om prosjektet'!$C$27=Resultat!X84,IFERROR(Resultat!$D$17/$Z$69*1000,NA()),NA())</f>
        <v>#N/A</v>
      </c>
      <c r="AA84" s="133" t="e">
        <f>IF(AND('Generelt om prosjektet'!$C$27=X84,$Z$11=1),IFERROR($F$17/$AA$69*1000,NA()),NA())</f>
        <v>#N/A</v>
      </c>
      <c r="AB84" s="133" t="e">
        <f>IF(AND('Generelt om prosjektet'!$C$27=Resultat!X84,$AA$11=1),IFERROR($H$17/$AB$69*1000,NA()),NA())</f>
        <v>#N/A</v>
      </c>
      <c r="AC84" s="133" t="e">
        <f>IF(AND('Generelt om prosjektet'!$C$27=Resultat!X84,$AB$11=1),IFERROR($J$17/$AC$69*1000,NA()),NA())</f>
        <v>#N/A</v>
      </c>
      <c r="AD84" s="2" t="e">
        <f>IF(AND('Generelt om prosjektet'!$C$27=Resultat!X84,$AC$11=1),IFERROR($L$17/$AD$69*1000,NA()),NA())</f>
        <v>#N/A</v>
      </c>
      <c r="AI84" s="435"/>
      <c r="AJ84" s="2">
        <v>12</v>
      </c>
      <c r="AK84" s="62" t="e">
        <f t="shared" si="10"/>
        <v>#DIV/0!</v>
      </c>
      <c r="AL84" s="62" t="e">
        <f>IF(AL$70=1,(AL$63+AL$64)/50+AL83,NA())</f>
        <v>#DIV/0!</v>
      </c>
      <c r="AM84" s="62" t="e">
        <f>IF(AM$70=1,(AM$63+AM$64)/50+AM83,NA())</f>
        <v>#DIV/0!</v>
      </c>
      <c r="AN84" s="62" t="e">
        <f>IF(AN$70=1,(AN$63+AN$64)/50+AN83,NA())</f>
        <v>#DIV/0!</v>
      </c>
      <c r="AO84" s="62" t="e">
        <f>IF(AO$70=1,(AO$63+AO$64)/50+AO83,NA())</f>
        <v>#DIV/0!</v>
      </c>
    </row>
    <row r="85" spans="9:41">
      <c r="I85" s="428"/>
      <c r="J85" s="430" t="str">
        <f>IF(Sheet1!E10=1,Sheet1!F10,"")</f>
        <v>Alternativ 2</v>
      </c>
      <c r="X85" s="2">
        <v>2032</v>
      </c>
      <c r="Y85" s="133">
        <f t="shared" si="11"/>
        <v>0</v>
      </c>
      <c r="Z85" s="133" t="e">
        <f>IF('Generelt om prosjektet'!$C$27=Resultat!X85,IFERROR(Resultat!$D$17/$Z$69*1000,NA()),NA())</f>
        <v>#N/A</v>
      </c>
      <c r="AA85" s="133" t="e">
        <f>IF(AND('Generelt om prosjektet'!$C$27=X85,$Z$11=1),IFERROR($F$17/$AA$69*1000,NA()),NA())</f>
        <v>#N/A</v>
      </c>
      <c r="AB85" s="133" t="e">
        <f>IF(AND('Generelt om prosjektet'!$C$27=Resultat!X85,$AA$11=1),IFERROR($H$17/$AB$69*1000,NA()),NA())</f>
        <v>#N/A</v>
      </c>
      <c r="AC85" s="133" t="e">
        <f>IF(AND('Generelt om prosjektet'!$C$27=Resultat!X85,$AB$11=1),IFERROR($J$17/$AC$69*1000,NA()),NA())</f>
        <v>#N/A</v>
      </c>
      <c r="AD85" s="2" t="e">
        <f>IF(AND('Generelt om prosjektet'!$C$27=Resultat!X85,$AC$11=1),IFERROR($L$17/$AD$69*1000,NA()),NA())</f>
        <v>#N/A</v>
      </c>
      <c r="AI85" s="435"/>
      <c r="AJ85" s="2">
        <v>13</v>
      </c>
      <c r="AK85" s="62" t="e">
        <f t="shared" si="10"/>
        <v>#DIV/0!</v>
      </c>
      <c r="AL85" s="62" t="e">
        <f>IF(AL$70=1,(AL$63+AL$64)/50+AL84,NA())</f>
        <v>#DIV/0!</v>
      </c>
      <c r="AM85" s="62" t="e">
        <f>IF(AM$70=1,(AM$63+AM$64)/50+AM84,NA())</f>
        <v>#DIV/0!</v>
      </c>
      <c r="AN85" s="62" t="e">
        <f>IF(AN$70=1,(AN$63+AN$64)/50+AN84,NA())</f>
        <v>#DIV/0!</v>
      </c>
      <c r="AO85" s="62" t="e">
        <f>IF(AO$70=1,(AO$63+AO$64)/50+AO84,NA())</f>
        <v>#DIV/0!</v>
      </c>
    </row>
    <row r="86" spans="9:41">
      <c r="I86" s="428"/>
      <c r="J86" s="430" t="str">
        <f>IF(Sheet1!E11=1,Sheet1!F11,"")</f>
        <v>Alternativ 3</v>
      </c>
      <c r="X86" s="2">
        <v>2033</v>
      </c>
      <c r="Y86" s="133">
        <f t="shared" si="11"/>
        <v>0</v>
      </c>
      <c r="Z86" s="133" t="e">
        <f>IF('Generelt om prosjektet'!$C$27=Resultat!X86,IFERROR(Resultat!$D$17/$Z$69*1000,NA()),NA())</f>
        <v>#N/A</v>
      </c>
      <c r="AA86" s="133" t="e">
        <f>IF(AND('Generelt om prosjektet'!$C$27=X86,$Z$11=1),IFERROR($F$17/$AA$69*1000,NA()),NA())</f>
        <v>#N/A</v>
      </c>
      <c r="AB86" s="133" t="e">
        <f>IF(AND('Generelt om prosjektet'!$C$27=Resultat!X86,$AA$11=1),IFERROR($H$17/$AB$69*1000,NA()),NA())</f>
        <v>#N/A</v>
      </c>
      <c r="AC86" s="133" t="e">
        <f>IF(AND('Generelt om prosjektet'!$C$27=Resultat!X86,$AB$11=1),IFERROR($J$17/$AC$69*1000,NA()),NA())</f>
        <v>#N/A</v>
      </c>
      <c r="AD86" s="2" t="e">
        <f>IF(AND('Generelt om prosjektet'!$C$27=Resultat!X86,$AC$11=1),IFERROR($L$17/$AD$69*1000,NA()),NA())</f>
        <v>#N/A</v>
      </c>
      <c r="AI86" s="435"/>
      <c r="AJ86" s="2">
        <v>14</v>
      </c>
      <c r="AK86" s="62" t="e">
        <f t="shared" si="10"/>
        <v>#DIV/0!</v>
      </c>
      <c r="AL86" s="62" t="e">
        <f>IF(AL$70=1,(AL$63+AL$64)/50+AL85,NA())</f>
        <v>#DIV/0!</v>
      </c>
      <c r="AM86" s="62" t="e">
        <f>IF(AM$70=1,(AM$63+AM$64)/50+AM85,NA())</f>
        <v>#DIV/0!</v>
      </c>
      <c r="AN86" s="62" t="e">
        <f>IF(AN$70=1,(AN$63+AN$64)/50+AN85,NA())</f>
        <v>#DIV/0!</v>
      </c>
      <c r="AO86" s="62" t="e">
        <f>IF(AO$70=1,(AO$63+AO$64)/50+AO85,NA())</f>
        <v>#DIV/0!</v>
      </c>
    </row>
    <row r="87" spans="9:41">
      <c r="I87" s="428"/>
      <c r="J87" s="431" t="str">
        <f>IF(Sheet1!E12=1,Sheet1!F12,"")</f>
        <v>Alternativ 4</v>
      </c>
      <c r="X87" s="2">
        <v>2034</v>
      </c>
      <c r="Y87" s="133">
        <f t="shared" si="11"/>
        <v>0</v>
      </c>
      <c r="Z87" s="133" t="e">
        <f>IF('Generelt om prosjektet'!$C$27=Resultat!X87,IFERROR(Resultat!$D$17/$Z$69*1000,NA()),NA())</f>
        <v>#N/A</v>
      </c>
      <c r="AA87" s="133" t="e">
        <f>IF(AND('Generelt om prosjektet'!$C$27=X87,$Z$11=1),IFERROR($F$17/$AA$69*1000,NA()),NA())</f>
        <v>#N/A</v>
      </c>
      <c r="AB87" s="133" t="e">
        <f>IF(AND('Generelt om prosjektet'!$C$27=Resultat!X87,$AA$11=1),IFERROR($H$17/$AB$69*1000,NA()),NA())</f>
        <v>#N/A</v>
      </c>
      <c r="AC87" s="133" t="e">
        <f>IF(AND('Generelt om prosjektet'!$C$27=Resultat!X87,$AB$11=1),IFERROR($J$17/$AC$69*1000,NA()),NA())</f>
        <v>#N/A</v>
      </c>
      <c r="AD87" s="2" t="e">
        <f>IF(AND('Generelt om prosjektet'!$C$27=Resultat!X87,$AC$11=1),IFERROR($L$17/$AD$69*1000,NA()),NA())</f>
        <v>#N/A</v>
      </c>
      <c r="AI87" s="435"/>
      <c r="AJ87" s="2">
        <v>15</v>
      </c>
      <c r="AK87" s="62" t="e">
        <f t="shared" si="10"/>
        <v>#DIV/0!</v>
      </c>
      <c r="AL87" s="62" t="e">
        <f>IF(AL$70=1,(AL$63+AL$64)/50+AL86,NA())</f>
        <v>#DIV/0!</v>
      </c>
      <c r="AM87" s="62" t="e">
        <f>IF(AM$70=1,(AM$63+AM$64)/50+AM86,NA())</f>
        <v>#DIV/0!</v>
      </c>
      <c r="AN87" s="62" t="e">
        <f>IF(AN$70=1,(AN$63+AN$64)/50+AN86,NA())</f>
        <v>#DIV/0!</v>
      </c>
      <c r="AO87" s="62" t="e">
        <f>IF(AO$70=1,(AO$63+AO$64)/50+AO86,NA())</f>
        <v>#DIV/0!</v>
      </c>
    </row>
    <row r="88" spans="9:41">
      <c r="I88" s="428"/>
      <c r="J88" s="431" t="str">
        <f>IF(Sheet1!E13=1,Sheet1!F13,"")</f>
        <v>Alternativ 5</v>
      </c>
      <c r="X88" s="2">
        <v>2035</v>
      </c>
      <c r="Y88" s="133">
        <f t="shared" si="11"/>
        <v>0</v>
      </c>
      <c r="Z88" s="133" t="e">
        <f>IF('Generelt om prosjektet'!$C$27=Resultat!X88,IFERROR(Resultat!$D$17/$Z$69*1000,NA()),NA())</f>
        <v>#N/A</v>
      </c>
      <c r="AA88" s="133" t="e">
        <f>IF(AND('Generelt om prosjektet'!$C$27=X88,$Z$11=1),IFERROR($F$17/$AA$69*1000,NA()),NA())</f>
        <v>#N/A</v>
      </c>
      <c r="AB88" s="133" t="e">
        <f>IF(AND('Generelt om prosjektet'!$C$27=Resultat!X88,$AA$11=1),IFERROR($H$17/$AB$69*1000,NA()),NA())</f>
        <v>#N/A</v>
      </c>
      <c r="AC88" s="133" t="e">
        <f>IF(AND('Generelt om prosjektet'!$C$27=Resultat!X88,$AB$11=1),IFERROR($J$17/$AC$69*1000,NA()),NA())</f>
        <v>#N/A</v>
      </c>
      <c r="AD88" s="2" t="e">
        <f>IF(AND('Generelt om prosjektet'!$C$27=Resultat!X88,$AC$11=1),IFERROR($L$17/$AD$69*1000,NA()),NA())</f>
        <v>#N/A</v>
      </c>
      <c r="AI88" s="435"/>
      <c r="AJ88" s="2">
        <v>16</v>
      </c>
      <c r="AK88" s="62" t="e">
        <f t="shared" si="10"/>
        <v>#DIV/0!</v>
      </c>
      <c r="AL88" s="62" t="e">
        <f>IF(AL$70=1,(AL$63+AL$64)/50+AL87,NA())</f>
        <v>#DIV/0!</v>
      </c>
      <c r="AM88" s="62" t="e">
        <f>IF(AM$70=1,(AM$63+AM$64)/50+AM87,NA())</f>
        <v>#DIV/0!</v>
      </c>
      <c r="AN88" s="62" t="e">
        <f>IF(AN$70=1,(AN$63+AN$64)/50+AN87,NA())</f>
        <v>#DIV/0!</v>
      </c>
      <c r="AO88" s="62" t="e">
        <f>IF(AO$70=1,(AO$63+AO$64)/50+AO87,NA())</f>
        <v>#DIV/0!</v>
      </c>
    </row>
    <row r="89" spans="9:41">
      <c r="I89" s="428"/>
      <c r="J89" s="428"/>
      <c r="X89" s="2">
        <v>2036</v>
      </c>
      <c r="Y89" s="133">
        <f t="shared" si="11"/>
        <v>0</v>
      </c>
      <c r="Z89" s="133" t="e">
        <f>IF('Generelt om prosjektet'!$C$27=Resultat!X89,IFERROR(Resultat!$D$17/$Z$69*1000,NA()),NA())</f>
        <v>#N/A</v>
      </c>
      <c r="AA89" s="133" t="e">
        <f>IF(AND('Generelt om prosjektet'!$C$27=X89,$Z$11=1),IFERROR($F$17/$AA$69*1000,NA()),NA())</f>
        <v>#N/A</v>
      </c>
      <c r="AB89" s="133" t="e">
        <f>IF(AND('Generelt om prosjektet'!$C$27=Resultat!X89,$AA$11=1),IFERROR($H$17/$AB$69*1000,NA()),NA())</f>
        <v>#N/A</v>
      </c>
      <c r="AC89" s="133" t="e">
        <f>IF(AND('Generelt om prosjektet'!$C$27=Resultat!X89,$AB$11=1),IFERROR($J$17/$AC$69*1000,NA()),NA())</f>
        <v>#N/A</v>
      </c>
      <c r="AD89" s="2" t="e">
        <f>IF(AND('Generelt om prosjektet'!$C$27=Resultat!X89,$AC$11=1),IFERROR($L$17/$AD$69*1000,NA()),NA())</f>
        <v>#N/A</v>
      </c>
      <c r="AI89" s="435"/>
      <c r="AJ89" s="2">
        <v>17</v>
      </c>
      <c r="AK89" s="62" t="e">
        <f t="shared" si="10"/>
        <v>#DIV/0!</v>
      </c>
      <c r="AL89" s="62" t="e">
        <f>IF(AL$70=1,(AL$63+AL$64)/50+AL88,NA())</f>
        <v>#DIV/0!</v>
      </c>
      <c r="AM89" s="62" t="e">
        <f>IF(AM$70=1,(AM$63+AM$64)/50+AM88,NA())</f>
        <v>#DIV/0!</v>
      </c>
      <c r="AN89" s="62" t="e">
        <f>IF(AN$70=1,(AN$63+AN$64)/50+AN88,NA())</f>
        <v>#DIV/0!</v>
      </c>
      <c r="AO89" s="62" t="e">
        <f>IF(AO$70=1,(AO$63+AO$64)/50+AO88,NA())</f>
        <v>#DIV/0!</v>
      </c>
    </row>
    <row r="90" spans="9:41">
      <c r="I90" s="428"/>
      <c r="J90" s="428"/>
      <c r="X90" s="2">
        <v>2037</v>
      </c>
      <c r="Y90" s="133">
        <f t="shared" si="11"/>
        <v>0</v>
      </c>
      <c r="Z90" s="133" t="e">
        <f>IF('Generelt om prosjektet'!$C$27=Resultat!X90,IFERROR(Resultat!$D$17/$Z$69*1000,NA()),NA())</f>
        <v>#N/A</v>
      </c>
      <c r="AA90" s="133" t="e">
        <f>IF(AND('Generelt om prosjektet'!$C$27=X90,$Z$11=1),IFERROR($F$17/$AA$69*1000,NA()),NA())</f>
        <v>#N/A</v>
      </c>
      <c r="AB90" s="133" t="e">
        <f>IF(AND('Generelt om prosjektet'!$C$27=Resultat!X90,$AA$11=1),IFERROR($H$17/$AB$69*1000,NA()),NA())</f>
        <v>#N/A</v>
      </c>
      <c r="AC90" s="133" t="e">
        <f>IF(AND('Generelt om prosjektet'!$C$27=Resultat!X90,$AB$11=1),IFERROR($J$17/$AC$69*1000,NA()),NA())</f>
        <v>#N/A</v>
      </c>
      <c r="AD90" s="2" t="e">
        <f>IF(AND('Generelt om prosjektet'!$C$27=Resultat!X90,$AC$11=1),IFERROR($L$17/$AD$69*1000,NA()),NA())</f>
        <v>#N/A</v>
      </c>
      <c r="AI90" s="435"/>
      <c r="AJ90" s="2">
        <v>18</v>
      </c>
      <c r="AK90" s="62" t="e">
        <f t="shared" si="10"/>
        <v>#DIV/0!</v>
      </c>
      <c r="AL90" s="62" t="e">
        <f>IF(AL$70=1,(AL$63+AL$64)/50+AL89,NA())</f>
        <v>#DIV/0!</v>
      </c>
      <c r="AM90" s="62" t="e">
        <f>IF(AM$70=1,(AM$63+AM$64)/50+AM89,NA())</f>
        <v>#DIV/0!</v>
      </c>
      <c r="AN90" s="62" t="e">
        <f>IF(AN$70=1,(AN$63+AN$64)/50+AN89,NA())</f>
        <v>#DIV/0!</v>
      </c>
      <c r="AO90" s="62" t="e">
        <f>IF(AO$70=1,(AO$63+AO$64)/50+AO89,NA())</f>
        <v>#DIV/0!</v>
      </c>
    </row>
    <row r="91" spans="9:41">
      <c r="I91" s="428"/>
      <c r="J91" s="428"/>
      <c r="X91" s="2">
        <v>2038</v>
      </c>
      <c r="Y91" s="133">
        <f t="shared" si="11"/>
        <v>0</v>
      </c>
      <c r="Z91" s="133" t="e">
        <f>IF('Generelt om prosjektet'!$C$27=Resultat!X91,IFERROR(Resultat!$D$17/$Z$69*1000,NA()),NA())</f>
        <v>#N/A</v>
      </c>
      <c r="AA91" s="133" t="e">
        <f>IF(AND('Generelt om prosjektet'!$C$27=X91,$Z$11=1),IFERROR($F$17/$AA$69*1000,NA()),NA())</f>
        <v>#N/A</v>
      </c>
      <c r="AB91" s="133" t="e">
        <f>IF(AND('Generelt om prosjektet'!$C$27=Resultat!X91,$AA$11=1),IFERROR($H$17/$AB$69*1000,NA()),NA())</f>
        <v>#N/A</v>
      </c>
      <c r="AC91" s="133" t="e">
        <f>IF(AND('Generelt om prosjektet'!$C$27=Resultat!X91,$AB$11=1),IFERROR($J$17/$AC$69*1000,NA()),NA())</f>
        <v>#N/A</v>
      </c>
      <c r="AD91" s="2" t="e">
        <f>IF(AND('Generelt om prosjektet'!$C$27=Resultat!X91,$AC$11=1),IFERROR($L$17/$AD$69*1000,NA()),NA())</f>
        <v>#N/A</v>
      </c>
      <c r="AI91" s="435"/>
      <c r="AJ91" s="2">
        <v>19</v>
      </c>
      <c r="AK91" s="62" t="e">
        <f t="shared" si="10"/>
        <v>#DIV/0!</v>
      </c>
      <c r="AL91" s="62" t="e">
        <f>IF(AL$70=1,(AL$63+AL$64)/50+AL90,NA())</f>
        <v>#DIV/0!</v>
      </c>
      <c r="AM91" s="62" t="e">
        <f>IF(AM$70=1,(AM$63+AM$64)/50+AM90,NA())</f>
        <v>#DIV/0!</v>
      </c>
      <c r="AN91" s="62" t="e">
        <f>IF(AN$70=1,(AN$63+AN$64)/50+AN90,NA())</f>
        <v>#DIV/0!</v>
      </c>
      <c r="AO91" s="62" t="e">
        <f>IF(AO$70=1,(AO$63+AO$64)/50+AO90,NA())</f>
        <v>#DIV/0!</v>
      </c>
    </row>
    <row r="92" spans="9:41">
      <c r="X92" s="2">
        <v>2039</v>
      </c>
      <c r="Y92" s="133">
        <f t="shared" si="11"/>
        <v>0</v>
      </c>
      <c r="Z92" s="133" t="e">
        <f>IF('Generelt om prosjektet'!$C$27=Resultat!X92,IFERROR(Resultat!$D$17/$Z$69*1000,NA()),NA())</f>
        <v>#N/A</v>
      </c>
      <c r="AA92" s="133" t="e">
        <f>IF(AND('Generelt om prosjektet'!$C$27=X92,$Z$11=1),IFERROR($F$17/$AA$69*1000,NA()),NA())</f>
        <v>#N/A</v>
      </c>
      <c r="AB92" s="133" t="e">
        <f>IF(AND('Generelt om prosjektet'!$C$27=Resultat!X92,$AA$11=1),IFERROR($H$17/$AB$69*1000,NA()),NA())</f>
        <v>#N/A</v>
      </c>
      <c r="AC92" s="133" t="e">
        <f>IF(AND('Generelt om prosjektet'!$C$27=Resultat!X92,$AB$11=1),IFERROR($J$17/$AC$69*1000,NA()),NA())</f>
        <v>#N/A</v>
      </c>
      <c r="AD92" s="2" t="e">
        <f>IF(AND('Generelt om prosjektet'!$C$27=Resultat!X92,$AC$11=1),IFERROR($L$17/$AD$69*1000,NA()),NA())</f>
        <v>#N/A</v>
      </c>
      <c r="AI92" s="435"/>
      <c r="AJ92" s="2">
        <v>20</v>
      </c>
      <c r="AK92" s="62" t="e">
        <f t="shared" si="10"/>
        <v>#DIV/0!</v>
      </c>
      <c r="AL92" s="62" t="e">
        <f>IF(AL$70=1,(AL$63+AL$64)/50+AL91,NA())</f>
        <v>#DIV/0!</v>
      </c>
      <c r="AM92" s="62" t="e">
        <f>IF(AM$70=1,(AM$63+AM$64)/50+AM91,NA())</f>
        <v>#DIV/0!</v>
      </c>
      <c r="AN92" s="62" t="e">
        <f>IF(AN$70=1,(AN$63+AN$64)/50+AN91,NA())</f>
        <v>#DIV/0!</v>
      </c>
      <c r="AO92" s="62" t="e">
        <f>IF(AO$70=1,(AO$63+AO$64)/50+AO91,NA())</f>
        <v>#DIV/0!</v>
      </c>
    </row>
    <row r="93" spans="9:41">
      <c r="X93" s="2">
        <v>2040</v>
      </c>
      <c r="Y93" s="133">
        <f t="shared" si="11"/>
        <v>0</v>
      </c>
      <c r="Z93" s="133" t="e">
        <f>IF('Generelt om prosjektet'!$C$27=Resultat!X93,IFERROR(Resultat!$D$17/$Z$69*1000,NA()),NA())</f>
        <v>#N/A</v>
      </c>
      <c r="AA93" s="133" t="e">
        <f>IF(AND('Generelt om prosjektet'!$C$27=X93,$Z$11=1),IFERROR($F$17/$AA$69*1000,NA()),NA())</f>
        <v>#N/A</v>
      </c>
      <c r="AB93" s="133" t="e">
        <f>IF(AND('Generelt om prosjektet'!$C$27=Resultat!X93,$AA$11=1),IFERROR($H$17/$AB$69*1000,NA()),NA())</f>
        <v>#N/A</v>
      </c>
      <c r="AC93" s="133" t="e">
        <f>IF(AND('Generelt om prosjektet'!$C$27=Resultat!X93,$AB$11=1),IFERROR($J$17/$AC$69*1000,NA()),NA())</f>
        <v>#N/A</v>
      </c>
      <c r="AD93" s="2" t="e">
        <f>IF(AND('Generelt om prosjektet'!$C$27=Resultat!X93,$AC$11=1),IFERROR($L$17/$AD$69*1000,NA()),NA())</f>
        <v>#N/A</v>
      </c>
      <c r="AI93" s="435"/>
      <c r="AJ93" s="2">
        <v>21</v>
      </c>
      <c r="AK93" s="62" t="e">
        <f t="shared" si="10"/>
        <v>#DIV/0!</v>
      </c>
      <c r="AL93" s="62" t="e">
        <f>IF(AL$70=1,(AL$63+AL$64)/50+AL92,NA())</f>
        <v>#DIV/0!</v>
      </c>
      <c r="AM93" s="62" t="e">
        <f>IF(AM$70=1,(AM$63+AM$64)/50+AM92,NA())</f>
        <v>#DIV/0!</v>
      </c>
      <c r="AN93" s="62" t="e">
        <f>IF(AN$70=1,(AN$63+AN$64)/50+AN92,NA())</f>
        <v>#DIV/0!</v>
      </c>
      <c r="AO93" s="62" t="e">
        <f>IF(AO$70=1,(AO$63+AO$64)/50+AO92,NA())</f>
        <v>#DIV/0!</v>
      </c>
    </row>
    <row r="94" spans="9:41">
      <c r="X94" s="2">
        <v>2041</v>
      </c>
      <c r="Y94" s="133">
        <f t="shared" si="11"/>
        <v>0</v>
      </c>
      <c r="Z94" s="133" t="e">
        <f>IF('Generelt om prosjektet'!$C$27=Resultat!X94,IFERROR(Resultat!$D$17/$Z$69*1000,NA()),NA())</f>
        <v>#N/A</v>
      </c>
      <c r="AA94" s="133" t="e">
        <f>IF(AND('Generelt om prosjektet'!$C$27=X94,$Z$11=1),IFERROR($F$17/$AA$69*1000,NA()),NA())</f>
        <v>#N/A</v>
      </c>
      <c r="AB94" s="133" t="e">
        <f>IF(AND('Generelt om prosjektet'!$C$27=Resultat!X94,$AA$11=1),IFERROR($H$17/$AB$69*1000,NA()),NA())</f>
        <v>#N/A</v>
      </c>
      <c r="AC94" s="133" t="e">
        <f>IF(AND('Generelt om prosjektet'!$C$27=Resultat!X94,$AB$11=1),IFERROR($J$17/$AC$69*1000,NA()),NA())</f>
        <v>#N/A</v>
      </c>
      <c r="AD94" s="2" t="e">
        <f>IF(AND('Generelt om prosjektet'!$C$27=Resultat!X94,$AC$11=1),IFERROR($L$17/$AD$69*1000,NA()),NA())</f>
        <v>#N/A</v>
      </c>
      <c r="AI94" s="435"/>
      <c r="AJ94" s="2">
        <v>22</v>
      </c>
      <c r="AK94" s="62" t="e">
        <f t="shared" si="10"/>
        <v>#DIV/0!</v>
      </c>
      <c r="AL94" s="62" t="e">
        <f>IF(AL$70=1,(AL$63+AL$64)/50+AL93,NA())</f>
        <v>#DIV/0!</v>
      </c>
      <c r="AM94" s="62" t="e">
        <f>IF(AM$70=1,(AM$63+AM$64)/50+AM93,NA())</f>
        <v>#DIV/0!</v>
      </c>
      <c r="AN94" s="62" t="e">
        <f>IF(AN$70=1,(AN$63+AN$64)/50+AN93,NA())</f>
        <v>#DIV/0!</v>
      </c>
      <c r="AO94" s="62" t="e">
        <f>IF(AO$70=1,(AO$63+AO$64)/50+AO93,NA())</f>
        <v>#DIV/0!</v>
      </c>
    </row>
    <row r="95" spans="9:41">
      <c r="X95" s="2">
        <v>2042</v>
      </c>
      <c r="Y95" s="133">
        <f t="shared" si="11"/>
        <v>0</v>
      </c>
      <c r="Z95" s="133" t="e">
        <f>IF('Generelt om prosjektet'!$C$27=Resultat!X95,IFERROR(Resultat!$D$17/$Z$69*1000,NA()),NA())</f>
        <v>#N/A</v>
      </c>
      <c r="AA95" s="133" t="e">
        <f>IF(AND('Generelt om prosjektet'!$C$27=X95,$Z$11=1),IFERROR($F$17/$AA$69*1000,NA()),NA())</f>
        <v>#N/A</v>
      </c>
      <c r="AB95" s="133" t="e">
        <f>IF(AND('Generelt om prosjektet'!$C$27=Resultat!X95,$AA$11=1),IFERROR($H$17/$AB$69*1000,NA()),NA())</f>
        <v>#N/A</v>
      </c>
      <c r="AC95" s="133" t="e">
        <f>IF(AND('Generelt om prosjektet'!$C$27=Resultat!X95,$AB$11=1),IFERROR($J$17/$AC$69*1000,NA()),NA())</f>
        <v>#N/A</v>
      </c>
      <c r="AD95" s="2" t="e">
        <f>IF(AND('Generelt om prosjektet'!$C$27=Resultat!X95,$AC$11=1),IFERROR($L$17/$AD$69*1000,NA()),NA())</f>
        <v>#N/A</v>
      </c>
      <c r="AI95" s="435"/>
      <c r="AJ95" s="2">
        <v>23</v>
      </c>
      <c r="AK95" s="62" t="e">
        <f t="shared" si="10"/>
        <v>#DIV/0!</v>
      </c>
      <c r="AL95" s="62" t="e">
        <f>IF(AL$70=1,(AL$63+AL$64)/50+AL94,NA())</f>
        <v>#DIV/0!</v>
      </c>
      <c r="AM95" s="62" t="e">
        <f>IF(AM$70=1,(AM$63+AM$64)/50+AM94,NA())</f>
        <v>#DIV/0!</v>
      </c>
      <c r="AN95" s="62" t="e">
        <f>IF(AN$70=1,(AN$63+AN$64)/50+AN94,NA())</f>
        <v>#DIV/0!</v>
      </c>
      <c r="AO95" s="62" t="e">
        <f>IF(AO$70=1,(AO$63+AO$64)/50+AO94,NA())</f>
        <v>#DIV/0!</v>
      </c>
    </row>
    <row r="96" spans="9:41">
      <c r="X96" s="2">
        <v>2043</v>
      </c>
      <c r="Y96" s="133">
        <f t="shared" si="11"/>
        <v>0</v>
      </c>
      <c r="Z96" s="133" t="e">
        <f>IF('Generelt om prosjektet'!$C$27=Resultat!X96,IFERROR(Resultat!$D$17/$Z$69*1000,NA()),NA())</f>
        <v>#N/A</v>
      </c>
      <c r="AA96" s="133" t="e">
        <f>IF(AND('Generelt om prosjektet'!$C$27=X96,$Z$11=1),IFERROR($F$17/$AA$69*1000,NA()),NA())</f>
        <v>#N/A</v>
      </c>
      <c r="AB96" s="133" t="e">
        <f>IF(AND('Generelt om prosjektet'!$C$27=Resultat!X96,$AA$11=1),IFERROR($H$17/$AB$69*1000,NA()),NA())</f>
        <v>#N/A</v>
      </c>
      <c r="AC96" s="133" t="e">
        <f>IF(AND('Generelt om prosjektet'!$C$27=Resultat!X96,$AB$11=1),IFERROR($J$17/$AC$69*1000,NA()),NA())</f>
        <v>#N/A</v>
      </c>
      <c r="AD96" s="2" t="e">
        <f>IF(AND('Generelt om prosjektet'!$C$27=Resultat!X96,$AC$11=1),IFERROR($L$17/$AD$69*1000,NA()),NA())</f>
        <v>#N/A</v>
      </c>
      <c r="AI96" s="435"/>
      <c r="AJ96" s="2">
        <v>24</v>
      </c>
      <c r="AK96" s="62" t="e">
        <f t="shared" si="10"/>
        <v>#DIV/0!</v>
      </c>
      <c r="AL96" s="62" t="e">
        <f>IF(AL$70=1,(AL$63+AL$64)/50+AL95,NA())</f>
        <v>#DIV/0!</v>
      </c>
      <c r="AM96" s="62" t="e">
        <f>IF(AM$70=1,(AM$63+AM$64)/50+AM95,NA())</f>
        <v>#DIV/0!</v>
      </c>
      <c r="AN96" s="62" t="e">
        <f>IF(AN$70=1,(AN$63+AN$64)/50+AN95,NA())</f>
        <v>#DIV/0!</v>
      </c>
      <c r="AO96" s="62" t="e">
        <f>IF(AO$70=1,(AO$63+AO$64)/50+AO95,NA())</f>
        <v>#DIV/0!</v>
      </c>
    </row>
    <row r="97" spans="3:41">
      <c r="X97" s="2">
        <v>2044</v>
      </c>
      <c r="Y97" s="133">
        <f t="shared" si="11"/>
        <v>0</v>
      </c>
      <c r="Z97" s="133" t="e">
        <f>IF('Generelt om prosjektet'!$C$27=Resultat!X97,IFERROR(Resultat!$D$17/$Z$69*1000,NA()),NA())</f>
        <v>#N/A</v>
      </c>
      <c r="AA97" s="133" t="e">
        <f>IF(AND('Generelt om prosjektet'!$C$27=X97,$Z$11=1),IFERROR($F$17/$AA$69*1000,NA()),NA())</f>
        <v>#N/A</v>
      </c>
      <c r="AB97" s="133" t="e">
        <f>IF(AND('Generelt om prosjektet'!$C$27=Resultat!X97,$AA$11=1),IFERROR($H$17/$AB$69*1000,NA()),NA())</f>
        <v>#N/A</v>
      </c>
      <c r="AC97" s="133" t="e">
        <f>IF(AND('Generelt om prosjektet'!$C$27=Resultat!X97,$AB$11=1),IFERROR($J$17/$AC$69*1000,NA()),NA())</f>
        <v>#N/A</v>
      </c>
      <c r="AD97" s="2" t="e">
        <f>IF(AND('Generelt om prosjektet'!$C$27=Resultat!X97,$AC$11=1),IFERROR($L$17/$AD$69*1000,NA()),NA())</f>
        <v>#N/A</v>
      </c>
      <c r="AI97" s="435"/>
      <c r="AJ97" s="2">
        <v>25</v>
      </c>
      <c r="AK97" s="62" t="e">
        <f t="shared" si="10"/>
        <v>#DIV/0!</v>
      </c>
      <c r="AL97" s="62" t="e">
        <f>IF(AL$70=1,(AL$63+AL$64)/50+AL96,NA())</f>
        <v>#DIV/0!</v>
      </c>
      <c r="AM97" s="62" t="e">
        <f>IF(AM$70=1,(AM$63+AM$64)/50+AM96,NA())</f>
        <v>#DIV/0!</v>
      </c>
      <c r="AN97" s="62" t="e">
        <f>IF(AN$70=1,(AN$63+AN$64)/50+AN96,NA())</f>
        <v>#DIV/0!</v>
      </c>
      <c r="AO97" s="62" t="e">
        <f>IF(AO$70=1,(AO$63+AO$64)/50+AO96,NA())</f>
        <v>#DIV/0!</v>
      </c>
    </row>
    <row r="98" spans="3:41">
      <c r="X98" s="2">
        <v>2045</v>
      </c>
      <c r="Y98" s="133">
        <f t="shared" si="11"/>
        <v>0</v>
      </c>
      <c r="Z98" s="133" t="e">
        <f>IF('Generelt om prosjektet'!$C$27=Resultat!X98,IFERROR(Resultat!$D$17/$Z$69*1000,NA()),NA())</f>
        <v>#N/A</v>
      </c>
      <c r="AA98" s="133" t="e">
        <f>IF(AND('Generelt om prosjektet'!$C$27=X98,$Z$11=1),IFERROR($F$17/$AA$69*1000,NA()),NA())</f>
        <v>#N/A</v>
      </c>
      <c r="AB98" s="133" t="e">
        <f>IF(AND('Generelt om prosjektet'!$C$27=Resultat!X98,$AA$11=1),IFERROR($H$17/$AB$69*1000,NA()),NA())</f>
        <v>#N/A</v>
      </c>
      <c r="AC98" s="133" t="e">
        <f>IF(AND('Generelt om prosjektet'!$C$27=Resultat!X98,$AB$11=1),IFERROR($J$17/$AC$69*1000,NA()),NA())</f>
        <v>#N/A</v>
      </c>
      <c r="AD98" s="2" t="e">
        <f>IF(AND('Generelt om prosjektet'!$C$27=Resultat!X98,$AC$11=1),IFERROR($L$17/$AD$69*1000,NA()),NA())</f>
        <v>#N/A</v>
      </c>
      <c r="AI98" s="435"/>
      <c r="AJ98" s="2">
        <v>26</v>
      </c>
      <c r="AK98" s="62" t="e">
        <f t="shared" si="10"/>
        <v>#DIV/0!</v>
      </c>
      <c r="AL98" s="62" t="e">
        <f>IF(AL$70=1,(AL$63+AL$64)/50+AL97,NA())</f>
        <v>#DIV/0!</v>
      </c>
      <c r="AM98" s="62" t="e">
        <f>IF(AM$70=1,(AM$63+AM$64)/50+AM97,NA())</f>
        <v>#DIV/0!</v>
      </c>
      <c r="AN98" s="62" t="e">
        <f>IF(AN$70=1,(AN$63+AN$64)/50+AN97,NA())</f>
        <v>#DIV/0!</v>
      </c>
      <c r="AO98" s="62" t="e">
        <f>IF(AO$70=1,(AO$63+AO$64)/50+AO97,NA())</f>
        <v>#DIV/0!</v>
      </c>
    </row>
    <row r="99" spans="3:41">
      <c r="X99" s="2">
        <v>2046</v>
      </c>
      <c r="Y99" s="133">
        <f t="shared" si="11"/>
        <v>0</v>
      </c>
      <c r="Z99" s="133" t="e">
        <f>IF('Generelt om prosjektet'!$C$27=Resultat!X99,IFERROR(Resultat!$D$17/$Z$69*1000,NA()),NA())</f>
        <v>#N/A</v>
      </c>
      <c r="AA99" s="133" t="e">
        <f>IF(AND('Generelt om prosjektet'!$C$27=X99,$Z$11=1),IFERROR($F$17/$AA$69*1000,NA()),NA())</f>
        <v>#N/A</v>
      </c>
      <c r="AB99" s="133" t="e">
        <f>IF(AND('Generelt om prosjektet'!$C$27=Resultat!X99,$AA$11=1),IFERROR($H$17/$AB$69*1000,NA()),NA())</f>
        <v>#N/A</v>
      </c>
      <c r="AC99" s="133" t="e">
        <f>IF(AND('Generelt om prosjektet'!$C$27=Resultat!X99,$AB$11=1),IFERROR($J$17/$AC$69*1000,NA()),NA())</f>
        <v>#N/A</v>
      </c>
      <c r="AD99" s="2" t="e">
        <f>IF(AND('Generelt om prosjektet'!$C$27=Resultat!X99,$AC$11=1),IFERROR($L$17/$AD$69*1000,NA()),NA())</f>
        <v>#N/A</v>
      </c>
      <c r="AI99" s="435"/>
      <c r="AJ99" s="2">
        <v>27</v>
      </c>
      <c r="AK99" s="62" t="e">
        <f t="shared" si="10"/>
        <v>#DIV/0!</v>
      </c>
      <c r="AL99" s="62" t="e">
        <f>IF(AL$70=1,(AL$63+AL$64)/50+AL98,NA())</f>
        <v>#DIV/0!</v>
      </c>
      <c r="AM99" s="62" t="e">
        <f>IF(AM$70=1,(AM$63+AM$64)/50+AM98,NA())</f>
        <v>#DIV/0!</v>
      </c>
      <c r="AN99" s="62" t="e">
        <f>IF(AN$70=1,(AN$63+AN$64)/50+AN98,NA())</f>
        <v>#DIV/0!</v>
      </c>
      <c r="AO99" s="62" t="e">
        <f>IF(AO$70=1,(AO$63+AO$64)/50+AO98,NA())</f>
        <v>#DIV/0!</v>
      </c>
    </row>
    <row r="100" spans="3:41">
      <c r="X100" s="2">
        <v>2047</v>
      </c>
      <c r="Y100" s="133">
        <f t="shared" si="11"/>
        <v>0</v>
      </c>
      <c r="Z100" s="133" t="e">
        <f>IF('Generelt om prosjektet'!$C$27=Resultat!X100,IFERROR(Resultat!$D$17/$Z$69*1000,NA()),NA())</f>
        <v>#N/A</v>
      </c>
      <c r="AA100" s="133" t="e">
        <f>IF(AND('Generelt om prosjektet'!$C$27=X100,$Z$11=1),IFERROR($F$17/$AA$69*1000,NA()),NA())</f>
        <v>#N/A</v>
      </c>
      <c r="AB100" s="133" t="e">
        <f>IF(AND('Generelt om prosjektet'!$C$27=Resultat!X100,$AA$11=1),IFERROR($H$17/$AB$69*1000,NA()),NA())</f>
        <v>#N/A</v>
      </c>
      <c r="AC100" s="133" t="e">
        <f>IF(AND('Generelt om prosjektet'!$C$27=Resultat!X100,$AB$11=1),IFERROR($J$17/$AC$69*1000,NA()),NA())</f>
        <v>#N/A</v>
      </c>
      <c r="AD100" s="2" t="e">
        <f>IF(AND('Generelt om prosjektet'!$C$27=Resultat!X100,$AC$11=1),IFERROR($L$17/$AD$69*1000,NA()),NA())</f>
        <v>#N/A</v>
      </c>
      <c r="AI100" s="435"/>
      <c r="AJ100" s="2">
        <v>28</v>
      </c>
      <c r="AK100" s="62" t="e">
        <f t="shared" si="10"/>
        <v>#DIV/0!</v>
      </c>
      <c r="AL100" s="62" t="e">
        <f>IF(AL$70=1,(AL$63+AL$64)/50+AL99,NA())</f>
        <v>#DIV/0!</v>
      </c>
      <c r="AM100" s="62" t="e">
        <f>IF(AM$70=1,(AM$63+AM$64)/50+AM99,NA())</f>
        <v>#DIV/0!</v>
      </c>
      <c r="AN100" s="62" t="e">
        <f>IF(AN$70=1,(AN$63+AN$64)/50+AN99,NA())</f>
        <v>#DIV/0!</v>
      </c>
      <c r="AO100" s="62" t="e">
        <f>IF(AO$70=1,(AO$63+AO$64)/50+AO99,NA())</f>
        <v>#DIV/0!</v>
      </c>
    </row>
    <row r="101" spans="3:41" ht="90.75" customHeight="1">
      <c r="C101" s="289" t="s">
        <v>637</v>
      </c>
      <c r="D101" s="289"/>
      <c r="E101" s="289"/>
      <c r="F101" s="289"/>
      <c r="G101" s="289"/>
      <c r="H101" s="289"/>
      <c r="I101" s="432"/>
      <c r="X101" s="2">
        <v>2048</v>
      </c>
      <c r="Y101" s="133">
        <f t="shared" si="11"/>
        <v>0</v>
      </c>
      <c r="Z101" s="133" t="e">
        <f>IF('Generelt om prosjektet'!$C$27=Resultat!X101,IFERROR(Resultat!$D$17/$Z$69*1000,NA()),NA())</f>
        <v>#N/A</v>
      </c>
      <c r="AA101" s="133" t="e">
        <f>IF(AND('Generelt om prosjektet'!$C$27=X101,$Z$11=1),IFERROR($F$17/$AA$69*1000,NA()),NA())</f>
        <v>#N/A</v>
      </c>
      <c r="AB101" s="133" t="e">
        <f>IF(AND('Generelt om prosjektet'!$C$27=Resultat!X101,$AA$11=1),IFERROR($H$17/$AB$69*1000,NA()),NA())</f>
        <v>#N/A</v>
      </c>
      <c r="AC101" s="133" t="e">
        <f>IF(AND('Generelt om prosjektet'!$C$27=Resultat!X101,$AB$11=1),IFERROR($J$17/$AC$69*1000,NA()),NA())</f>
        <v>#N/A</v>
      </c>
      <c r="AD101" s="2" t="e">
        <f>IF(AND('Generelt om prosjektet'!$C$27=Resultat!X101,$AC$11=1),IFERROR($L$17/$AD$69*1000,NA()),NA())</f>
        <v>#N/A</v>
      </c>
      <c r="AI101" s="435"/>
      <c r="AJ101" s="2">
        <v>29</v>
      </c>
      <c r="AK101" s="62" t="e">
        <f t="shared" si="10"/>
        <v>#DIV/0!</v>
      </c>
      <c r="AL101" s="62" t="e">
        <f>IF(AL$70=1,(AL$63+AL$64)/50+AL100,NA())</f>
        <v>#DIV/0!</v>
      </c>
      <c r="AM101" s="62" t="e">
        <f>IF(AM$70=1,(AM$63+AM$64)/50+AM100,NA())</f>
        <v>#DIV/0!</v>
      </c>
      <c r="AN101" s="62" t="e">
        <f>IF(AN$70=1,(AN$63+AN$64)/50+AN100,NA())</f>
        <v>#DIV/0!</v>
      </c>
      <c r="AO101" s="62" t="e">
        <f>IF(AO$70=1,(AO$63+AO$64)/50+AO100,NA())</f>
        <v>#DIV/0!</v>
      </c>
    </row>
    <row r="102" spans="3:41">
      <c r="C102" s="432"/>
      <c r="D102" s="432"/>
      <c r="E102" s="432"/>
      <c r="F102" s="432"/>
      <c r="G102" s="432"/>
      <c r="H102" s="432"/>
      <c r="I102" s="432"/>
      <c r="X102" s="2">
        <v>2049</v>
      </c>
      <c r="Y102" s="133">
        <f t="shared" si="11"/>
        <v>0</v>
      </c>
      <c r="Z102" s="133" t="e">
        <f>IF('Generelt om prosjektet'!$C$27=Resultat!X102,IFERROR(Resultat!$D$17/$Z$69*1000,NA()),NA())</f>
        <v>#N/A</v>
      </c>
      <c r="AA102" s="133" t="e">
        <f>IF(AND('Generelt om prosjektet'!$C$27=X102,$Z$11=1),IFERROR($F$17/$AA$69*1000,NA()),NA())</f>
        <v>#N/A</v>
      </c>
      <c r="AB102" s="133" t="e">
        <f>IF(AND('Generelt om prosjektet'!$C$27=Resultat!X102,$AA$11=1),IFERROR($H$17/$AB$69*1000,NA()),NA())</f>
        <v>#N/A</v>
      </c>
      <c r="AC102" s="133" t="e">
        <f>IF(AND('Generelt om prosjektet'!$C$27=Resultat!X102,$AB$11=1),IFERROR($J$17/$AC$69*1000,NA()),NA())</f>
        <v>#N/A</v>
      </c>
      <c r="AD102" s="2" t="e">
        <f>IF(AND('Generelt om prosjektet'!$C$27=Resultat!X102,$AC$11=1),IFERROR($L$17/$AD$69*1000,NA()),NA())</f>
        <v>#N/A</v>
      </c>
      <c r="AI102" s="435"/>
      <c r="AJ102" s="2">
        <v>30</v>
      </c>
      <c r="AK102" s="62" t="e">
        <f t="shared" si="10"/>
        <v>#DIV/0!</v>
      </c>
      <c r="AL102" s="62" t="e">
        <f>IF(AL$70=1,(AL$63+AL$64)/50+AL101,NA())</f>
        <v>#DIV/0!</v>
      </c>
      <c r="AM102" s="62" t="e">
        <f>IF(AM$70=1,(AM$63+AM$64)/50+AM101,NA())</f>
        <v>#DIV/0!</v>
      </c>
      <c r="AN102" s="62" t="e">
        <f>IF(AN$70=1,(AN$63+AN$64)/50+AN101,NA())</f>
        <v>#DIV/0!</v>
      </c>
      <c r="AO102" s="62" t="e">
        <f>IF(AO$70=1,(AO$63+AO$64)/50+AO101,NA())</f>
        <v>#DIV/0!</v>
      </c>
    </row>
    <row r="103" spans="3:41">
      <c r="X103" s="2">
        <v>2050</v>
      </c>
      <c r="Y103" s="133">
        <f>Y73*0.1</f>
        <v>0</v>
      </c>
      <c r="Z103" s="133" t="e">
        <f>IF('Generelt om prosjektet'!$C$27=Resultat!X103,IFERROR(Resultat!$D$17/$Z$69*1000,NA()),NA())</f>
        <v>#N/A</v>
      </c>
      <c r="AA103" s="133" t="e">
        <f>IF(AND('Generelt om prosjektet'!$C$27=X103,$Z$11=1),IFERROR($F$17/$AA$69*1000,NA()),NA())</f>
        <v>#N/A</v>
      </c>
      <c r="AB103" s="133" t="e">
        <f>IF(AND('Generelt om prosjektet'!$C$27=Resultat!X103,$AA$11=1),IFERROR($H$17/$AB$69*1000,NA()),NA())</f>
        <v>#N/A</v>
      </c>
      <c r="AC103" s="133" t="e">
        <f>IF(AND('Generelt om prosjektet'!$C$27=Resultat!X103,$AB$11=1),IFERROR($J$17/$AC$69*1000,NA()),NA())</f>
        <v>#N/A</v>
      </c>
      <c r="AD103" s="2" t="e">
        <f>IF(AND('Generelt om prosjektet'!$C$27=Resultat!X103,$AC$11=1),IFERROR($L$17/$AD$69*1000,NA()),NA())</f>
        <v>#N/A</v>
      </c>
      <c r="AI103" s="435"/>
      <c r="AJ103" s="2">
        <v>31</v>
      </c>
      <c r="AK103" s="62" t="e">
        <f t="shared" si="10"/>
        <v>#DIV/0!</v>
      </c>
      <c r="AL103" s="62" t="e">
        <f>IF(AL$70=1,(AL$63+AL$64)/50+AL102,NA())</f>
        <v>#DIV/0!</v>
      </c>
      <c r="AM103" s="62" t="e">
        <f>IF(AM$70=1,(AM$63+AM$64)/50+AM102,NA())</f>
        <v>#DIV/0!</v>
      </c>
      <c r="AN103" s="62" t="e">
        <f>IF(AN$70=1,(AN$63+AN$64)/50+AN102,NA())</f>
        <v>#DIV/0!</v>
      </c>
      <c r="AO103" s="62" t="e">
        <f>IF(AO$70=1,(AO$63+AO$64)/50+AO102,NA())</f>
        <v>#DIV/0!</v>
      </c>
    </row>
    <row r="104" spans="3:41">
      <c r="AI104" s="435"/>
      <c r="AJ104" s="2">
        <v>32</v>
      </c>
      <c r="AK104" s="62" t="e">
        <f t="shared" si="10"/>
        <v>#DIV/0!</v>
      </c>
      <c r="AL104" s="62" t="e">
        <f>IF(AL$70=1,(AL$63+AL$64)/50+AL103,NA())</f>
        <v>#DIV/0!</v>
      </c>
      <c r="AM104" s="62" t="e">
        <f>IF(AM$70=1,(AM$63+AM$64)/50+AM103,NA())</f>
        <v>#DIV/0!</v>
      </c>
      <c r="AN104" s="62" t="e">
        <f>IF(AN$70=1,(AN$63+AN$64)/50+AN103,NA())</f>
        <v>#DIV/0!</v>
      </c>
      <c r="AO104" s="62" t="e">
        <f>IF(AO$70=1,(AO$63+AO$64)/50+AO103,NA())</f>
        <v>#DIV/0!</v>
      </c>
    </row>
    <row r="105" spans="3:41">
      <c r="Z105" s="298" t="s">
        <v>36</v>
      </c>
      <c r="AA105" s="299"/>
      <c r="AB105" s="296"/>
      <c r="AC105" s="297"/>
      <c r="AI105" s="435"/>
      <c r="AJ105" s="2">
        <v>33</v>
      </c>
      <c r="AK105" s="62" t="e">
        <f t="shared" si="10"/>
        <v>#DIV/0!</v>
      </c>
      <c r="AL105" s="62" t="e">
        <f>IF(AL$70=1,(AL$63+AL$64)/50+AL104,NA())</f>
        <v>#DIV/0!</v>
      </c>
      <c r="AM105" s="62" t="e">
        <f>IF(AM$70=1,(AM$63+AM$64)/50+AM104,NA())</f>
        <v>#DIV/0!</v>
      </c>
      <c r="AN105" s="62" t="e">
        <f>IF(AN$70=1,(AN$63+AN$64)/50+AN104,NA())</f>
        <v>#DIV/0!</v>
      </c>
      <c r="AO105" s="62" t="e">
        <f>IF(AO$70=1,(AO$63+AO$64)/50+AO104,NA())</f>
        <v>#DIV/0!</v>
      </c>
    </row>
    <row r="106" spans="3:41">
      <c r="Z106" s="134" t="s">
        <v>22</v>
      </c>
      <c r="AA106" s="133" t="s">
        <v>23</v>
      </c>
      <c r="AB106" s="134"/>
      <c r="AC106" s="133"/>
      <c r="AI106" s="435"/>
      <c r="AJ106" s="2">
        <v>34</v>
      </c>
      <c r="AK106" s="62" t="e">
        <f t="shared" si="10"/>
        <v>#DIV/0!</v>
      </c>
      <c r="AL106" s="62" t="e">
        <f>IF(AL$70=1,(AL$63+AL$64)/50+AL105,NA())</f>
        <v>#DIV/0!</v>
      </c>
      <c r="AM106" s="62" t="e">
        <f>IF(AM$70=1,(AM$63+AM$64)/50+AM105,NA())</f>
        <v>#DIV/0!</v>
      </c>
      <c r="AN106" s="62" t="e">
        <f>IF(AN$70=1,(AN$63+AN$64)/50+AN105,NA())</f>
        <v>#DIV/0!</v>
      </c>
      <c r="AO106" s="62" t="e">
        <f>IF(AO$70=1,(AO$63+AO$64)/50+AO105,NA())</f>
        <v>#DIV/0!</v>
      </c>
    </row>
    <row r="107" spans="3:41">
      <c r="X107" s="2">
        <v>2020</v>
      </c>
      <c r="Y107" s="133">
        <f>Y73</f>
        <v>0</v>
      </c>
      <c r="AI107" s="435"/>
      <c r="AJ107" s="2">
        <v>35</v>
      </c>
      <c r="AK107" s="62" t="e">
        <f t="shared" si="10"/>
        <v>#DIV/0!</v>
      </c>
      <c r="AL107" s="62" t="e">
        <f>IF(AL$70=1,(AL$63+AL$64)/50+AL106,NA())</f>
        <v>#DIV/0!</v>
      </c>
      <c r="AM107" s="62" t="e">
        <f>IF(AM$70=1,(AM$63+AM$64)/50+AM106,NA())</f>
        <v>#DIV/0!</v>
      </c>
      <c r="AN107" s="62" t="e">
        <f>IF(AN$70=1,(AN$63+AN$64)/50+AN106,NA())</f>
        <v>#DIV/0!</v>
      </c>
      <c r="AO107" s="62" t="e">
        <f>IF(AO$70=1,(AO$63+AO$64)/50+AO106,NA())</f>
        <v>#DIV/0!</v>
      </c>
    </row>
    <row r="108" spans="3:41">
      <c r="X108" s="2">
        <f>'Generelt om prosjektet'!C26</f>
        <v>2026</v>
      </c>
      <c r="Y108" s="133">
        <f>_xlfn.XLOOKUP(X108,X73:X103,Y73:Y103)</f>
        <v>0</v>
      </c>
      <c r="Z108" s="133">
        <f>IF('Generelt om prosjektet'!$C$26=Resultat!X108,Resultat!$D$17,0)</f>
        <v>0</v>
      </c>
      <c r="AA108" s="133"/>
      <c r="AB108" s="133"/>
      <c r="AC108" s="133"/>
      <c r="AI108" s="435"/>
      <c r="AJ108" s="2">
        <v>36</v>
      </c>
      <c r="AK108" s="62" t="e">
        <f t="shared" si="10"/>
        <v>#DIV/0!</v>
      </c>
      <c r="AL108" s="62" t="e">
        <f>IF(AL$70=1,(AL$63+AL$64)/50+AL107,NA())</f>
        <v>#DIV/0!</v>
      </c>
      <c r="AM108" s="62" t="e">
        <f>IF(AM$70=1,(AM$63+AM$64)/50+AM107,NA())</f>
        <v>#DIV/0!</v>
      </c>
      <c r="AN108" s="62" t="e">
        <f>IF(AN$70=1,(AN$63+AN$64)/50+AN107,NA())</f>
        <v>#DIV/0!</v>
      </c>
      <c r="AO108" s="62" t="e">
        <f>IF(AO$70=1,(AO$63+AO$64)/50+AO107,NA())</f>
        <v>#DIV/0!</v>
      </c>
    </row>
    <row r="109" spans="3:41">
      <c r="X109" s="2">
        <v>2030</v>
      </c>
      <c r="Y109" s="133">
        <f t="shared" ref="Y109:Y110" si="12">_xlfn.XLOOKUP(X109,X74:X104,Y74:Y104)</f>
        <v>0</v>
      </c>
      <c r="AI109" s="435"/>
      <c r="AJ109" s="2">
        <v>37</v>
      </c>
      <c r="AK109" s="62" t="e">
        <f t="shared" si="10"/>
        <v>#DIV/0!</v>
      </c>
      <c r="AL109" s="62" t="e">
        <f>IF(AL$70=1,(AL$63+AL$64)/50+AL108,NA())</f>
        <v>#DIV/0!</v>
      </c>
      <c r="AM109" s="62" t="e">
        <f>IF(AM$70=1,(AM$63+AM$64)/50+AM108,NA())</f>
        <v>#DIV/0!</v>
      </c>
      <c r="AN109" s="62" t="e">
        <f>IF(AN$70=1,(AN$63+AN$64)/50+AN108,NA())</f>
        <v>#DIV/0!</v>
      </c>
      <c r="AO109" s="62" t="e">
        <f>IF(AO$70=1,(AO$63+AO$64)/50+AO108,NA())</f>
        <v>#DIV/0!</v>
      </c>
    </row>
    <row r="110" spans="3:41">
      <c r="X110" s="2">
        <v>2050</v>
      </c>
      <c r="Y110" s="133">
        <f t="shared" si="12"/>
        <v>0</v>
      </c>
      <c r="AI110" s="435"/>
      <c r="AJ110" s="2">
        <v>38</v>
      </c>
      <c r="AK110" s="62" t="e">
        <f t="shared" si="10"/>
        <v>#DIV/0!</v>
      </c>
      <c r="AL110" s="62" t="e">
        <f>IF(AL$70=1,(AL$63+AL$64)/50+AL109,NA())</f>
        <v>#DIV/0!</v>
      </c>
      <c r="AM110" s="62" t="e">
        <f>IF(AM$70=1,(AM$63+AM$64)/50+AM109,NA())</f>
        <v>#DIV/0!</v>
      </c>
      <c r="AN110" s="62" t="e">
        <f>IF(AN$70=1,(AN$63+AN$64)/50+AN109,NA())</f>
        <v>#DIV/0!</v>
      </c>
      <c r="AO110" s="62" t="e">
        <f>IF(AO$70=1,(AO$63+AO$64)/50+AO109,NA())</f>
        <v>#DIV/0!</v>
      </c>
    </row>
    <row r="111" spans="3:41">
      <c r="AI111" s="435"/>
      <c r="AJ111" s="2">
        <v>39</v>
      </c>
      <c r="AK111" s="62" t="e">
        <f t="shared" si="10"/>
        <v>#DIV/0!</v>
      </c>
      <c r="AL111" s="62" t="e">
        <f>IF(AL$70=1,(AL$63+AL$64)/50+AL110,NA())</f>
        <v>#DIV/0!</v>
      </c>
      <c r="AM111" s="62" t="e">
        <f>IF(AM$70=1,(AM$63+AM$64)/50+AM110,NA())</f>
        <v>#DIV/0!</v>
      </c>
      <c r="AN111" s="62" t="e">
        <f>IF(AN$70=1,(AN$63+AN$64)/50+AN110,NA())</f>
        <v>#DIV/0!</v>
      </c>
      <c r="AO111" s="62" t="e">
        <f>IF(AO$70=1,(AO$63+AO$64)/50+AO110,NA())</f>
        <v>#DIV/0!</v>
      </c>
    </row>
    <row r="112" spans="3:41">
      <c r="J112" s="428"/>
      <c r="AI112" s="435"/>
      <c r="AJ112" s="2">
        <v>40</v>
      </c>
      <c r="AK112" s="62" t="e">
        <f t="shared" si="10"/>
        <v>#DIV/0!</v>
      </c>
      <c r="AL112" s="62" t="e">
        <f>IF(AL$70=1,(AL$63+AL$64)/50+AL111,NA())</f>
        <v>#DIV/0!</v>
      </c>
      <c r="AM112" s="62" t="e">
        <f>IF(AM$70=1,(AM$63+AM$64)/50+AM111,NA())</f>
        <v>#DIV/0!</v>
      </c>
      <c r="AN112" s="62" t="e">
        <f>IF(AN$70=1,(AN$63+AN$64)/50+AN111,NA())</f>
        <v>#DIV/0!</v>
      </c>
      <c r="AO112" s="62" t="e">
        <f>IF(AO$70=1,(AO$63+AO$64)/50+AO111,NA())</f>
        <v>#DIV/0!</v>
      </c>
    </row>
    <row r="113" spans="10:41">
      <c r="J113" s="428"/>
      <c r="AI113" s="435"/>
      <c r="AJ113" s="2">
        <v>41</v>
      </c>
      <c r="AK113" s="62" t="e">
        <f t="shared" si="10"/>
        <v>#DIV/0!</v>
      </c>
      <c r="AL113" s="62" t="e">
        <f>IF(AL$70=1,(AL$63+AL$64)/50+AL112,NA())</f>
        <v>#DIV/0!</v>
      </c>
      <c r="AM113" s="62" t="e">
        <f>IF(AM$70=1,(AM$63+AM$64)/50+AM112,NA())</f>
        <v>#DIV/0!</v>
      </c>
      <c r="AN113" s="62" t="e">
        <f>IF(AN$70=1,(AN$63+AN$64)/50+AN112,NA())</f>
        <v>#DIV/0!</v>
      </c>
      <c r="AO113" s="62" t="e">
        <f>IF(AO$70=1,(AO$63+AO$64)/50+AO112,NA())</f>
        <v>#DIV/0!</v>
      </c>
    </row>
    <row r="114" spans="10:41">
      <c r="J114" s="428"/>
      <c r="AI114" s="435"/>
      <c r="AJ114" s="2">
        <v>42</v>
      </c>
      <c r="AK114" s="62" t="e">
        <f t="shared" si="10"/>
        <v>#DIV/0!</v>
      </c>
      <c r="AL114" s="62" t="e">
        <f>IF(AL$70=1,(AL$63+AL$64)/50+AL113,NA())</f>
        <v>#DIV/0!</v>
      </c>
      <c r="AM114" s="62" t="e">
        <f>IF(AM$70=1,(AM$63+AM$64)/50+AM113,NA())</f>
        <v>#DIV/0!</v>
      </c>
      <c r="AN114" s="62" t="e">
        <f>IF(AN$70=1,(AN$63+AN$64)/50+AN113,NA())</f>
        <v>#DIV/0!</v>
      </c>
      <c r="AO114" s="62" t="e">
        <f>IF(AO$70=1,(AO$63+AO$64)/50+AO113,NA())</f>
        <v>#DIV/0!</v>
      </c>
    </row>
    <row r="115" spans="10:41" ht="18">
      <c r="J115" s="428"/>
      <c r="M115" s="434"/>
      <c r="AI115" s="435"/>
      <c r="AJ115" s="2">
        <v>43</v>
      </c>
      <c r="AK115" s="62" t="e">
        <f t="shared" si="10"/>
        <v>#DIV/0!</v>
      </c>
      <c r="AL115" s="62" t="e">
        <f>IF(AL$70=1,(AL$63+AL$64)/50+AL114,NA())</f>
        <v>#DIV/0!</v>
      </c>
      <c r="AM115" s="62" t="e">
        <f>IF(AM$70=1,(AM$63+AM$64)/50+AM114,NA())</f>
        <v>#DIV/0!</v>
      </c>
      <c r="AN115" s="62" t="e">
        <f>IF(AN$70=1,(AN$63+AN$64)/50+AN114,NA())</f>
        <v>#DIV/0!</v>
      </c>
      <c r="AO115" s="62" t="e">
        <f>IF(AO$70=1,(AO$63+AO$64)/50+AO114,NA())</f>
        <v>#DIV/0!</v>
      </c>
    </row>
    <row r="116" spans="10:41">
      <c r="J116" s="428"/>
      <c r="AI116" s="435"/>
      <c r="AJ116" s="2">
        <v>44</v>
      </c>
      <c r="AK116" s="62" t="e">
        <f t="shared" si="10"/>
        <v>#DIV/0!</v>
      </c>
      <c r="AL116" s="62" t="e">
        <f>IF(AL$70=1,(AL$63+AL$64)/50+AL115,NA())</f>
        <v>#DIV/0!</v>
      </c>
      <c r="AM116" s="62" t="e">
        <f>IF(AM$70=1,(AM$63+AM$64)/50+AM115,NA())</f>
        <v>#DIV/0!</v>
      </c>
      <c r="AN116" s="62" t="e">
        <f>IF(AN$70=1,(AN$63+AN$64)/50+AN115,NA())</f>
        <v>#DIV/0!</v>
      </c>
      <c r="AO116" s="62" t="e">
        <f>IF(AO$70=1,(AO$63+AO$64)/50+AO115,NA())</f>
        <v>#DIV/0!</v>
      </c>
    </row>
    <row r="117" spans="10:41">
      <c r="J117" s="428" t="str">
        <f>IF(Sheet1!E9=1,Sheet1!F9,"")</f>
        <v>Alternativ 1</v>
      </c>
      <c r="AI117" s="435"/>
      <c r="AJ117" s="2">
        <v>45</v>
      </c>
      <c r="AK117" s="62" t="e">
        <f t="shared" si="10"/>
        <v>#DIV/0!</v>
      </c>
      <c r="AL117" s="62" t="e">
        <f>IF(AL$70=1,(AL$63+AL$64)/50+AL116,NA())</f>
        <v>#DIV/0!</v>
      </c>
      <c r="AM117" s="62" t="e">
        <f>IF(AM$70=1,(AM$63+AM$64)/50+AM116,NA())</f>
        <v>#DIV/0!</v>
      </c>
      <c r="AN117" s="62" t="e">
        <f>IF(AN$70=1,(AN$63+AN$64)/50+AN116,NA())</f>
        <v>#DIV/0!</v>
      </c>
      <c r="AO117" s="62" t="e">
        <f>IF(AO$70=1,(AO$63+AO$64)/50+AO116,NA())</f>
        <v>#DIV/0!</v>
      </c>
    </row>
    <row r="118" spans="10:41">
      <c r="J118" s="428" t="str">
        <f>IF(Sheet1!E10=1,Sheet1!F10,"")</f>
        <v>Alternativ 2</v>
      </c>
      <c r="AI118" s="435"/>
      <c r="AJ118" s="2">
        <v>46</v>
      </c>
      <c r="AK118" s="62" t="e">
        <f t="shared" si="10"/>
        <v>#DIV/0!</v>
      </c>
      <c r="AL118" s="62" t="e">
        <f>IF(AL$70=1,(AL$63+AL$64)/50+AL117,NA())</f>
        <v>#DIV/0!</v>
      </c>
      <c r="AM118" s="62" t="e">
        <f>IF(AM$70=1,(AM$63+AM$64)/50+AM117,NA())</f>
        <v>#DIV/0!</v>
      </c>
      <c r="AN118" s="62" t="e">
        <f>IF(AN$70=1,(AN$63+AN$64)/50+AN117,NA())</f>
        <v>#DIV/0!</v>
      </c>
      <c r="AO118" s="62" t="e">
        <f>IF(AO$70=1,(AO$63+AO$64)/50+AO117,NA())</f>
        <v>#DIV/0!</v>
      </c>
    </row>
    <row r="119" spans="10:41">
      <c r="J119" s="428" t="str">
        <f>IF(Sheet1!E11=1,Sheet1!F11,"")</f>
        <v>Alternativ 3</v>
      </c>
      <c r="AI119" s="435"/>
      <c r="AJ119" s="2">
        <v>47</v>
      </c>
      <c r="AK119" s="62" t="e">
        <f t="shared" si="10"/>
        <v>#DIV/0!</v>
      </c>
      <c r="AL119" s="62" t="e">
        <f>IF(AL$70=1,(AL$63+AL$64)/50+AL118,NA())</f>
        <v>#DIV/0!</v>
      </c>
      <c r="AM119" s="62" t="e">
        <f>IF(AM$70=1,(AM$63+AM$64)/50+AM118,NA())</f>
        <v>#DIV/0!</v>
      </c>
      <c r="AN119" s="62" t="e">
        <f>IF(AN$70=1,(AN$63+AN$64)/50+AN118,NA())</f>
        <v>#DIV/0!</v>
      </c>
      <c r="AO119" s="62" t="e">
        <f>IF(AO$70=1,(AO$63+AO$64)/50+AO118,NA())</f>
        <v>#DIV/0!</v>
      </c>
    </row>
    <row r="120" spans="10:41">
      <c r="J120" s="428" t="str">
        <f>IF(Sheet1!E12=1,Sheet1!F12,"")</f>
        <v>Alternativ 4</v>
      </c>
      <c r="AI120" s="435"/>
      <c r="AJ120" s="2">
        <v>48</v>
      </c>
      <c r="AK120" s="62" t="e">
        <f t="shared" si="10"/>
        <v>#DIV/0!</v>
      </c>
      <c r="AL120" s="62" t="e">
        <f>IF(AL$70=1,(AL$63+AL$64)/50+AL119,NA())</f>
        <v>#DIV/0!</v>
      </c>
      <c r="AM120" s="62" t="e">
        <f>IF(AM$70=1,(AM$63+AM$64)/50+AM119,NA())</f>
        <v>#DIV/0!</v>
      </c>
      <c r="AN120" s="62" t="e">
        <f>IF(AN$70=1,(AN$63+AN$64)/50+AN119,NA())</f>
        <v>#DIV/0!</v>
      </c>
      <c r="AO120" s="62" t="e">
        <f>IF(AO$70=1,(AO$63+AO$64)/50+AO119,NA())</f>
        <v>#DIV/0!</v>
      </c>
    </row>
    <row r="121" spans="10:41">
      <c r="J121" s="428" t="str">
        <f>IF(Sheet1!E13=1,Sheet1!F13,"")</f>
        <v>Alternativ 5</v>
      </c>
      <c r="AI121" s="435"/>
      <c r="AJ121" s="2">
        <v>49</v>
      </c>
      <c r="AK121" s="62" t="e">
        <f t="shared" si="10"/>
        <v>#DIV/0!</v>
      </c>
      <c r="AL121" s="62" t="e">
        <f>IF(AL$70=1,(AL$63+AL$64)/50+AL120,NA())</f>
        <v>#DIV/0!</v>
      </c>
      <c r="AM121" s="62" t="e">
        <f>IF(AM$70=1,(AM$63+AM$64)/50+AM120,NA())</f>
        <v>#DIV/0!</v>
      </c>
      <c r="AN121" s="62" t="e">
        <f>IF(AN$70=1,(AN$63+AN$64)/50+AN120,NA())</f>
        <v>#DIV/0!</v>
      </c>
      <c r="AO121" s="62" t="e">
        <f>IF(AO$70=1,(AO$63+AO$64)/50+AO120,NA())</f>
        <v>#DIV/0!</v>
      </c>
    </row>
    <row r="122" spans="10:41">
      <c r="J122" s="428"/>
      <c r="AI122" s="435"/>
      <c r="AJ122" s="2">
        <v>50</v>
      </c>
      <c r="AK122" s="62" t="e">
        <f t="shared" si="10"/>
        <v>#DIV/0!</v>
      </c>
      <c r="AL122" s="62" t="e">
        <f>IF(AL$70=1,(AL$63+AL$64)/50+AL121,NA())</f>
        <v>#DIV/0!</v>
      </c>
      <c r="AM122" s="62" t="e">
        <f>IF(AM$70=1,(AM$63+AM$64)/50+AM121,NA())</f>
        <v>#DIV/0!</v>
      </c>
      <c r="AN122" s="62" t="e">
        <f>IF(AN$70=1,(AN$63+AN$64)/50+AN121,NA())</f>
        <v>#DIV/0!</v>
      </c>
      <c r="AO122" s="62" t="e">
        <f>IF(AO$70=1,(AO$63+AO$64)/50+AO121,NA())</f>
        <v>#DIV/0!</v>
      </c>
    </row>
    <row r="123" spans="10:41">
      <c r="AJ123" s="2" t="s">
        <v>633</v>
      </c>
      <c r="AK123" s="62" t="e">
        <f>AK65+AK122</f>
        <v>#DIV/0!</v>
      </c>
      <c r="AL123" s="62" t="e">
        <f>IF(AL$70=1,AL65+AL122,NA())</f>
        <v>#DIV/0!</v>
      </c>
      <c r="AM123" s="62" t="e">
        <f>IF(AM$70=1,AM65+AM122,NA())</f>
        <v>#DIV/0!</v>
      </c>
      <c r="AN123" s="62" t="e">
        <f>IF(AN$70=1,AN65+AN122,NA())</f>
        <v>#DIV/0!</v>
      </c>
      <c r="AO123" s="62" t="e">
        <f>IF(AO$70=1,AO65+AO122,NA())</f>
        <v>#DIV/0!</v>
      </c>
    </row>
    <row r="125" spans="10:41">
      <c r="AK125" s="62" t="e">
        <f>AK123</f>
        <v>#DIV/0!</v>
      </c>
      <c r="AL125" s="62" t="e">
        <f t="shared" ref="AL125:AO125" si="13">AL123</f>
        <v>#DIV/0!</v>
      </c>
      <c r="AM125" s="62" t="e">
        <f t="shared" si="13"/>
        <v>#DIV/0!</v>
      </c>
      <c r="AN125" s="62" t="e">
        <f t="shared" si="13"/>
        <v>#DIV/0!</v>
      </c>
      <c r="AO125" s="62" t="e">
        <f t="shared" si="13"/>
        <v>#DIV/0!</v>
      </c>
    </row>
    <row r="126" spans="10:41">
      <c r="AK126" s="433" t="e">
        <f>AK125/AK67</f>
        <v>#DIV/0!</v>
      </c>
      <c r="AL126" s="433" t="e">
        <f>IF(AL$70=1,AL125/AL67,NA())</f>
        <v>#DIV/0!</v>
      </c>
      <c r="AM126" s="433" t="e">
        <f>IF(AM$70=1,AM125/AM67,NA())</f>
        <v>#DIV/0!</v>
      </c>
      <c r="AN126" s="433" t="e">
        <f>IF(AN$70=1,AN125/AN67,NA())</f>
        <v>#DIV/0!</v>
      </c>
      <c r="AO126" s="433" t="e">
        <f>IF(AO$70=1,AO125/AO67,NA())</f>
        <v>#DIV/0!</v>
      </c>
    </row>
    <row r="136" spans="3:8" ht="48" customHeight="1">
      <c r="C136" s="289" t="s">
        <v>626</v>
      </c>
      <c r="D136" s="289"/>
      <c r="E136" s="289"/>
      <c r="F136" s="289"/>
      <c r="G136" s="289"/>
      <c r="H136" s="289"/>
    </row>
  </sheetData>
  <sheetProtection algorithmName="SHA-512" hashValue="DP6w+C7FYPQ4g9Jew8NzsKdxWvx17aJM8XmoA0FwId0pJME+z6da2Z9zrLxH5ujYPXKHs/frbQ62c0hoW37T0Q==" saltValue="mCINOZ02dsTMNljetxCIEQ==" spinCount="100000" sheet="1" objects="1" scenarios="1"/>
  <mergeCells count="57">
    <mergeCell ref="C101:H101"/>
    <mergeCell ref="AI73:AI122"/>
    <mergeCell ref="C136:H136"/>
    <mergeCell ref="C67:D67"/>
    <mergeCell ref="D34:E34"/>
    <mergeCell ref="F34:G34"/>
    <mergeCell ref="H34:I34"/>
    <mergeCell ref="J34:K34"/>
    <mergeCell ref="E67:H67"/>
    <mergeCell ref="D31:E31"/>
    <mergeCell ref="F31:G31"/>
    <mergeCell ref="H31:I31"/>
    <mergeCell ref="J31:K31"/>
    <mergeCell ref="L31:M31"/>
    <mergeCell ref="J27:K27"/>
    <mergeCell ref="J29:K29"/>
    <mergeCell ref="AB71:AC71"/>
    <mergeCell ref="Z105:AA105"/>
    <mergeCell ref="AB105:AC105"/>
    <mergeCell ref="Z71:AA71"/>
    <mergeCell ref="L34:M34"/>
    <mergeCell ref="B28:B29"/>
    <mergeCell ref="D30:E30"/>
    <mergeCell ref="F30:G30"/>
    <mergeCell ref="H30:I30"/>
    <mergeCell ref="J30:K30"/>
    <mergeCell ref="D28:E28"/>
    <mergeCell ref="F28:G28"/>
    <mergeCell ref="H28:I28"/>
    <mergeCell ref="J28:K28"/>
    <mergeCell ref="D29:E29"/>
    <mergeCell ref="F29:G29"/>
    <mergeCell ref="C5:H5"/>
    <mergeCell ref="D13:E13"/>
    <mergeCell ref="F13:G13"/>
    <mergeCell ref="H13:I13"/>
    <mergeCell ref="D25:E25"/>
    <mergeCell ref="F25:G25"/>
    <mergeCell ref="H25:I25"/>
    <mergeCell ref="D24:E24"/>
    <mergeCell ref="F24:G24"/>
    <mergeCell ref="H24:I24"/>
    <mergeCell ref="J13:K13"/>
    <mergeCell ref="H29:I29"/>
    <mergeCell ref="L13:M13"/>
    <mergeCell ref="L27:M27"/>
    <mergeCell ref="J25:K25"/>
    <mergeCell ref="J24:K24"/>
    <mergeCell ref="L24:M24"/>
    <mergeCell ref="L25:M25"/>
    <mergeCell ref="J67:M67"/>
    <mergeCell ref="L28:M28"/>
    <mergeCell ref="L29:M29"/>
    <mergeCell ref="L30:M30"/>
    <mergeCell ref="D27:E27"/>
    <mergeCell ref="F27:G27"/>
    <mergeCell ref="H27:I27"/>
  </mergeCells>
  <phoneticPr fontId="1" type="noConversion"/>
  <conditionalFormatting sqref="D13:E22 D24:E25">
    <cfRule type="expression" dxfId="169" priority="8">
      <formula>$Z$11=0</formula>
    </cfRule>
  </conditionalFormatting>
  <conditionalFormatting sqref="D27:E31">
    <cfRule type="expression" dxfId="168" priority="116">
      <formula>$Z$11=0</formula>
    </cfRule>
  </conditionalFormatting>
  <conditionalFormatting sqref="D34:E41">
    <cfRule type="expression" dxfId="167" priority="95">
      <formula>$Z$11=0</formula>
    </cfRule>
  </conditionalFormatting>
  <conditionalFormatting sqref="F13:G22 F24:G25 F27:G31 F34:G41">
    <cfRule type="expression" dxfId="166" priority="4">
      <formula>$Z$11=1</formula>
    </cfRule>
  </conditionalFormatting>
  <conditionalFormatting sqref="F13:G41">
    <cfRule type="expression" dxfId="165" priority="9">
      <formula>$Z$11=0</formula>
    </cfRule>
  </conditionalFormatting>
  <conditionalFormatting sqref="H13:I22 H24:I25 H34:I41">
    <cfRule type="expression" dxfId="164" priority="3">
      <formula>$AA$11=1</formula>
    </cfRule>
  </conditionalFormatting>
  <conditionalFormatting sqref="H13:I41">
    <cfRule type="expression" dxfId="163" priority="7">
      <formula>$AA$11=0</formula>
    </cfRule>
  </conditionalFormatting>
  <conditionalFormatting sqref="H27:I31">
    <cfRule type="expression" dxfId="162" priority="2">
      <formula>$AA$11=1</formula>
    </cfRule>
  </conditionalFormatting>
  <conditionalFormatting sqref="J13:K22 J24:K25 J27:K31 J34:K41">
    <cfRule type="expression" dxfId="161" priority="1">
      <formula>$AB$11=1</formula>
    </cfRule>
  </conditionalFormatting>
  <conditionalFormatting sqref="J13:K41">
    <cfRule type="expression" dxfId="160" priority="6">
      <formula>$AB$11=0</formula>
    </cfRule>
  </conditionalFormatting>
  <conditionalFormatting sqref="L11:M11">
    <cfRule type="expression" dxfId="159" priority="134">
      <formula>$AC$11=0</formula>
    </cfRule>
  </conditionalFormatting>
  <conditionalFormatting sqref="L13:M41">
    <cfRule type="expression" dxfId="158" priority="5">
      <formula>$AC$11=0</formula>
    </cfRule>
  </conditionalFormatting>
  <pageMargins left="0.25" right="0.25" top="0.75" bottom="0.75" header="0.3" footer="0.3"/>
  <pageSetup paperSize="9" scale="45" fitToHeight="0" orientation="portrait" verticalDpi="0" r:id="rId1"/>
  <ignoredErrors>
    <ignoredError sqref="G22 I22 K22 E41 K41:L41 I41 G41 F42:M43 F41 H41 J41 M41" 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iconSet" priority="83" id="{5F7AF094-771E-4D40-9A46-7B8EF19F6E6D}">
            <x14:iconSet custom="1">
              <x14:cfvo type="percent">
                <xm:f>0</xm:f>
              </x14:cfvo>
              <x14:cfvo type="num">
                <xm:f>0.09</xm:f>
              </x14:cfvo>
              <x14:cfvo type="num">
                <xm:f>0.11</xm:f>
              </x14:cfvo>
              <x14:cfIcon iconSet="3TrafficLights1" iconId="1"/>
              <x14:cfIcon iconSet="3TrafficLights1" iconId="2"/>
              <x14:cfIcon iconSet="3TrafficLights1" iconId="0"/>
            </x14:iconSet>
          </x14:cfRule>
          <xm:sqref>E15</xm:sqref>
        </x14:conditionalFormatting>
        <x14:conditionalFormatting xmlns:xm="http://schemas.microsoft.com/office/excel/2006/main">
          <x14:cfRule type="iconSet" priority="82" id="{5B5CAC0C-9833-49E6-8E14-C3C309AA74AB}">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E16</xm:sqref>
        </x14:conditionalFormatting>
        <x14:conditionalFormatting xmlns:xm="http://schemas.microsoft.com/office/excel/2006/main">
          <x14:cfRule type="iconSet" priority="81" id="{D250E4F2-B1FF-4A4F-9ADC-E84976A9867D}">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E17</xm:sqref>
        </x14:conditionalFormatting>
        <x14:conditionalFormatting xmlns:xm="http://schemas.microsoft.com/office/excel/2006/main">
          <x14:cfRule type="iconSet" priority="80" id="{6C0A87E7-503D-4FE2-BB4F-9DA2C0D05AC4}">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E18</xm:sqref>
        </x14:conditionalFormatting>
        <x14:conditionalFormatting xmlns:xm="http://schemas.microsoft.com/office/excel/2006/main">
          <x14:cfRule type="iconSet" priority="79" id="{E2169C73-C8D8-4F8E-9889-A353C59D6C3F}">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E19</xm:sqref>
        </x14:conditionalFormatting>
        <x14:conditionalFormatting xmlns:xm="http://schemas.microsoft.com/office/excel/2006/main">
          <x14:cfRule type="iconSet" priority="77" id="{3FD1F477-BA89-4295-A57B-3C2210BCAA73}">
            <x14:iconSet custom="1">
              <x14:cfvo type="percent">
                <xm:f>0</xm:f>
              </x14:cfvo>
              <x14:cfvo type="num">
                <xm:f>0</xm:f>
              </x14:cfvo>
              <x14:cfvo type="num" gte="0">
                <xm:f>0</xm:f>
              </x14:cfvo>
              <x14:cfIcon iconSet="3TrafficLights1" iconId="2"/>
              <x14:cfIcon iconSet="3TrafficLights1" iconId="1"/>
              <x14:cfIcon iconSet="3TrafficLights1" iconId="0"/>
            </x14:iconSet>
          </x14:cfRule>
          <xm:sqref>E20</xm:sqref>
        </x14:conditionalFormatting>
        <x14:conditionalFormatting xmlns:xm="http://schemas.microsoft.com/office/excel/2006/main">
          <x14:cfRule type="iconSet" priority="76" id="{157FE68B-A59E-4C2A-B9E9-DC31CCC61CBF}">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E21</xm:sqref>
        </x14:conditionalFormatting>
        <x14:conditionalFormatting xmlns:xm="http://schemas.microsoft.com/office/excel/2006/main">
          <x14:cfRule type="iconSet" priority="37" id="{A7E67EA0-8D21-4415-B3C2-78605AD7ED15}">
            <x14:iconSet custom="1">
              <x14:cfvo type="percent">
                <xm:f>0</xm:f>
              </x14:cfvo>
              <x14:cfvo type="num">
                <xm:f>0.09</xm:f>
              </x14:cfvo>
              <x14:cfvo type="num">
                <xm:f>0.11</xm:f>
              </x14:cfvo>
              <x14:cfIcon iconSet="3TrafficLights1" iconId="1"/>
              <x14:cfIcon iconSet="3TrafficLights1" iconId="2"/>
              <x14:cfIcon iconSet="3TrafficLights1" iconId="0"/>
            </x14:iconSet>
          </x14:cfRule>
          <xm:sqref>G15</xm:sqref>
        </x14:conditionalFormatting>
        <x14:conditionalFormatting xmlns:xm="http://schemas.microsoft.com/office/excel/2006/main">
          <x14:cfRule type="iconSet" priority="36" id="{3E76B40F-F718-483D-BA2D-D476E200CFD4}">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G16</xm:sqref>
        </x14:conditionalFormatting>
        <x14:conditionalFormatting xmlns:xm="http://schemas.microsoft.com/office/excel/2006/main">
          <x14:cfRule type="iconSet" priority="35" id="{1327ACD0-8515-4BC4-B11C-634DC273E83F}">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G17</xm:sqref>
        </x14:conditionalFormatting>
        <x14:conditionalFormatting xmlns:xm="http://schemas.microsoft.com/office/excel/2006/main">
          <x14:cfRule type="iconSet" priority="34" id="{284E12EC-B41A-4131-9120-A8E5E3CF1599}">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G18</xm:sqref>
        </x14:conditionalFormatting>
        <x14:conditionalFormatting xmlns:xm="http://schemas.microsoft.com/office/excel/2006/main">
          <x14:cfRule type="iconSet" priority="33" id="{A75A80DD-71C5-4A0D-BF5F-4AD1934228C1}">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G19</xm:sqref>
        </x14:conditionalFormatting>
        <x14:conditionalFormatting xmlns:xm="http://schemas.microsoft.com/office/excel/2006/main">
          <x14:cfRule type="iconSet" priority="32" id="{0F48B837-B463-4360-8240-4184B781CEDD}">
            <x14:iconSet custom="1">
              <x14:cfvo type="percent">
                <xm:f>0</xm:f>
              </x14:cfvo>
              <x14:cfvo type="num">
                <xm:f>0</xm:f>
              </x14:cfvo>
              <x14:cfvo type="num" gte="0">
                <xm:f>0</xm:f>
              </x14:cfvo>
              <x14:cfIcon iconSet="3TrafficLights1" iconId="2"/>
              <x14:cfIcon iconSet="3TrafficLights1" iconId="1"/>
              <x14:cfIcon iconSet="3TrafficLights1" iconId="0"/>
            </x14:iconSet>
          </x14:cfRule>
          <xm:sqref>G20</xm:sqref>
        </x14:conditionalFormatting>
        <x14:conditionalFormatting xmlns:xm="http://schemas.microsoft.com/office/excel/2006/main">
          <x14:cfRule type="iconSet" priority="31" id="{55E9CA32-984F-426E-870E-49FCC6589B69}">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G21</xm:sqref>
        </x14:conditionalFormatting>
        <x14:conditionalFormatting xmlns:xm="http://schemas.microsoft.com/office/excel/2006/main">
          <x14:cfRule type="iconSet" priority="30" id="{20BEC7C7-6AB0-442D-8413-7C58A2DC7E2A}">
            <x14:iconSet custom="1">
              <x14:cfvo type="percent">
                <xm:f>0</xm:f>
              </x14:cfvo>
              <x14:cfvo type="num">
                <xm:f>0.09</xm:f>
              </x14:cfvo>
              <x14:cfvo type="num">
                <xm:f>0.11</xm:f>
              </x14:cfvo>
              <x14:cfIcon iconSet="3TrafficLights1" iconId="1"/>
              <x14:cfIcon iconSet="3TrafficLights1" iconId="2"/>
              <x14:cfIcon iconSet="3TrafficLights1" iconId="0"/>
            </x14:iconSet>
          </x14:cfRule>
          <xm:sqref>I15</xm:sqref>
        </x14:conditionalFormatting>
        <x14:conditionalFormatting xmlns:xm="http://schemas.microsoft.com/office/excel/2006/main">
          <x14:cfRule type="iconSet" priority="29" id="{C828CB36-37DA-4ABF-820B-A0E756B3BDA0}">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I16</xm:sqref>
        </x14:conditionalFormatting>
        <x14:conditionalFormatting xmlns:xm="http://schemas.microsoft.com/office/excel/2006/main">
          <x14:cfRule type="iconSet" priority="28" id="{CAB78D4D-8871-4DAB-A332-AAE517D0116D}">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I17</xm:sqref>
        </x14:conditionalFormatting>
        <x14:conditionalFormatting xmlns:xm="http://schemas.microsoft.com/office/excel/2006/main">
          <x14:cfRule type="iconSet" priority="27" id="{B0FFD690-2020-48A9-92F3-D9DE38F95CB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I18</xm:sqref>
        </x14:conditionalFormatting>
        <x14:conditionalFormatting xmlns:xm="http://schemas.microsoft.com/office/excel/2006/main">
          <x14:cfRule type="iconSet" priority="26" id="{8B6CDFF1-9E1A-4257-874F-EC8B4A595752}">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I19</xm:sqref>
        </x14:conditionalFormatting>
        <x14:conditionalFormatting xmlns:xm="http://schemas.microsoft.com/office/excel/2006/main">
          <x14:cfRule type="iconSet" priority="25" id="{E8A704CD-4115-4111-AB20-6DCA036B47BD}">
            <x14:iconSet custom="1">
              <x14:cfvo type="percent">
                <xm:f>0</xm:f>
              </x14:cfvo>
              <x14:cfvo type="num">
                <xm:f>0</xm:f>
              </x14:cfvo>
              <x14:cfvo type="num" gte="0">
                <xm:f>0</xm:f>
              </x14:cfvo>
              <x14:cfIcon iconSet="3TrafficLights1" iconId="2"/>
              <x14:cfIcon iconSet="3TrafficLights1" iconId="1"/>
              <x14:cfIcon iconSet="3TrafficLights1" iconId="0"/>
            </x14:iconSet>
          </x14:cfRule>
          <xm:sqref>I20</xm:sqref>
        </x14:conditionalFormatting>
        <x14:conditionalFormatting xmlns:xm="http://schemas.microsoft.com/office/excel/2006/main">
          <x14:cfRule type="iconSet" priority="24" id="{6C00B5DA-A43F-4D31-82AB-0897673E8858}">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I21</xm:sqref>
        </x14:conditionalFormatting>
        <x14:conditionalFormatting xmlns:xm="http://schemas.microsoft.com/office/excel/2006/main">
          <x14:cfRule type="iconSet" priority="23" id="{573398CC-4B7B-4255-AA85-B92ADE43E653}">
            <x14:iconSet custom="1">
              <x14:cfvo type="percent">
                <xm:f>0</xm:f>
              </x14:cfvo>
              <x14:cfvo type="num">
                <xm:f>0.09</xm:f>
              </x14:cfvo>
              <x14:cfvo type="num">
                <xm:f>0.11</xm:f>
              </x14:cfvo>
              <x14:cfIcon iconSet="3TrafficLights1" iconId="1"/>
              <x14:cfIcon iconSet="3TrafficLights1" iconId="2"/>
              <x14:cfIcon iconSet="3TrafficLights1" iconId="0"/>
            </x14:iconSet>
          </x14:cfRule>
          <xm:sqref>K15</xm:sqref>
        </x14:conditionalFormatting>
        <x14:conditionalFormatting xmlns:xm="http://schemas.microsoft.com/office/excel/2006/main">
          <x14:cfRule type="iconSet" priority="22" id="{A2655973-B9D8-4704-A7B3-A017E375460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K16</xm:sqref>
        </x14:conditionalFormatting>
        <x14:conditionalFormatting xmlns:xm="http://schemas.microsoft.com/office/excel/2006/main">
          <x14:cfRule type="iconSet" priority="21" id="{49A36E86-100D-4A9C-8CD1-63498413204A}">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K17</xm:sqref>
        </x14:conditionalFormatting>
        <x14:conditionalFormatting xmlns:xm="http://schemas.microsoft.com/office/excel/2006/main">
          <x14:cfRule type="iconSet" priority="20" id="{57817D6F-3800-43DC-83F8-0130811C3ADA}">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K18</xm:sqref>
        </x14:conditionalFormatting>
        <x14:conditionalFormatting xmlns:xm="http://schemas.microsoft.com/office/excel/2006/main">
          <x14:cfRule type="iconSet" priority="19" id="{3973750B-6860-4A70-9A45-8CAC1A3317C1}">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K19</xm:sqref>
        </x14:conditionalFormatting>
        <x14:conditionalFormatting xmlns:xm="http://schemas.microsoft.com/office/excel/2006/main">
          <x14:cfRule type="iconSet" priority="18" id="{6D92AA69-55E7-4787-A5B8-B2FA609FCD94}">
            <x14:iconSet custom="1">
              <x14:cfvo type="percent">
                <xm:f>0</xm:f>
              </x14:cfvo>
              <x14:cfvo type="num">
                <xm:f>0</xm:f>
              </x14:cfvo>
              <x14:cfvo type="num" gte="0">
                <xm:f>0</xm:f>
              </x14:cfvo>
              <x14:cfIcon iconSet="3TrafficLights1" iconId="2"/>
              <x14:cfIcon iconSet="3TrafficLights1" iconId="1"/>
              <x14:cfIcon iconSet="3TrafficLights1" iconId="0"/>
            </x14:iconSet>
          </x14:cfRule>
          <xm:sqref>K20</xm:sqref>
        </x14:conditionalFormatting>
        <x14:conditionalFormatting xmlns:xm="http://schemas.microsoft.com/office/excel/2006/main">
          <x14:cfRule type="iconSet" priority="17" id="{84D86608-5725-42E2-B355-A2B6678D60C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K21</xm:sqref>
        </x14:conditionalFormatting>
        <x14:conditionalFormatting xmlns:xm="http://schemas.microsoft.com/office/excel/2006/main">
          <x14:cfRule type="iconSet" priority="16" id="{FD2BC8B7-86DF-43B4-80F2-B7039E67DFD7}">
            <x14:iconSet custom="1">
              <x14:cfvo type="percent">
                <xm:f>0</xm:f>
              </x14:cfvo>
              <x14:cfvo type="num">
                <xm:f>0.09</xm:f>
              </x14:cfvo>
              <x14:cfvo type="num">
                <xm:f>0.11</xm:f>
              </x14:cfvo>
              <x14:cfIcon iconSet="3TrafficLights1" iconId="1"/>
              <x14:cfIcon iconSet="3TrafficLights1" iconId="2"/>
              <x14:cfIcon iconSet="3TrafficLights1" iconId="0"/>
            </x14:iconSet>
          </x14:cfRule>
          <xm:sqref>M15</xm:sqref>
        </x14:conditionalFormatting>
        <x14:conditionalFormatting xmlns:xm="http://schemas.microsoft.com/office/excel/2006/main">
          <x14:cfRule type="iconSet" priority="15" id="{D23C868D-63CA-4EFD-9F3F-EF2BEE4FA386}">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M16</xm:sqref>
        </x14:conditionalFormatting>
        <x14:conditionalFormatting xmlns:xm="http://schemas.microsoft.com/office/excel/2006/main">
          <x14:cfRule type="iconSet" priority="14" id="{FF166B46-69F9-43BF-BFDB-23ABB649832C}">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M17</xm:sqref>
        </x14:conditionalFormatting>
        <x14:conditionalFormatting xmlns:xm="http://schemas.microsoft.com/office/excel/2006/main">
          <x14:cfRule type="iconSet" priority="13" id="{617A6263-6B76-427A-956E-E2AE8B03AFD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M18</xm:sqref>
        </x14:conditionalFormatting>
        <x14:conditionalFormatting xmlns:xm="http://schemas.microsoft.com/office/excel/2006/main">
          <x14:cfRule type="iconSet" priority="12" id="{B89F2727-1931-4859-BF0E-FFB7D7FE259F}">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M19</xm:sqref>
        </x14:conditionalFormatting>
        <x14:conditionalFormatting xmlns:xm="http://schemas.microsoft.com/office/excel/2006/main">
          <x14:cfRule type="iconSet" priority="11" id="{DA86AA79-F6E5-4DC7-BBEA-CFEC33B52C4D}">
            <x14:iconSet custom="1">
              <x14:cfvo type="percent">
                <xm:f>0</xm:f>
              </x14:cfvo>
              <x14:cfvo type="num">
                <xm:f>0</xm:f>
              </x14:cfvo>
              <x14:cfvo type="num" gte="0">
                <xm:f>0</xm:f>
              </x14:cfvo>
              <x14:cfIcon iconSet="3TrafficLights1" iconId="2"/>
              <x14:cfIcon iconSet="3TrafficLights1" iconId="1"/>
              <x14:cfIcon iconSet="3TrafficLights1" iconId="0"/>
            </x14:iconSet>
          </x14:cfRule>
          <xm:sqref>M20</xm:sqref>
        </x14:conditionalFormatting>
        <x14:conditionalFormatting xmlns:xm="http://schemas.microsoft.com/office/excel/2006/main">
          <x14:cfRule type="iconSet" priority="10" id="{13293BB1-D7B7-44D3-90C4-D3A225464441}">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M21</xm:sqref>
        </x14:conditionalFormatting>
        <x14:conditionalFormatting xmlns:xm="http://schemas.microsoft.com/office/excel/2006/main">
          <x14:cfRule type="iconSet" priority="78" id="{5039E481-9EF6-4E58-93E4-723A715DEE48}">
            <x14:iconSet custom="1">
              <x14:cfvo type="percent">
                <xm:f>0</xm:f>
              </x14:cfvo>
              <x14:cfvo type="num">
                <xm:f>0</xm:f>
              </x14:cfvo>
              <x14:cfvo type="num" gte="0">
                <xm:f>0</xm:f>
              </x14:cfvo>
              <x14:cfIcon iconSet="3TrafficLights1" iconId="2"/>
              <x14:cfIcon iconSet="3TrafficLights1" iconId="1"/>
              <x14:cfIcon iconSet="3TrafficLights1" iconId="0"/>
            </x14:iconSet>
          </x14:cfRule>
          <xm:sqref>O23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8BCED-77AC-41BE-A300-CC0E58E436F0}">
  <dimension ref="E7:K35"/>
  <sheetViews>
    <sheetView showGridLines="0" workbookViewId="0">
      <selection activeCell="F31" sqref="F31"/>
    </sheetView>
  </sheetViews>
  <sheetFormatPr defaultRowHeight="15"/>
  <sheetData>
    <row r="7" spans="5:11">
      <c r="E7" s="2"/>
      <c r="F7" s="2"/>
      <c r="G7" s="2"/>
      <c r="H7" s="2"/>
      <c r="I7" s="2"/>
      <c r="J7" s="2"/>
      <c r="K7" s="2"/>
    </row>
    <row r="8" spans="5:11">
      <c r="E8" s="2">
        <v>1</v>
      </c>
      <c r="F8" s="2" t="str">
        <f>'Generelt om prosjektet'!C21</f>
        <v>Velg antall</v>
      </c>
      <c r="G8" s="2"/>
      <c r="H8" s="2"/>
      <c r="I8" s="2"/>
      <c r="J8" s="2"/>
      <c r="K8" s="2"/>
    </row>
    <row r="9" spans="5:11">
      <c r="E9" s="2">
        <f>IF($F$8&gt;=1,1,0)</f>
        <v>1</v>
      </c>
      <c r="F9" s="2" t="s">
        <v>22</v>
      </c>
      <c r="G9" s="2">
        <v>1</v>
      </c>
      <c r="H9" s="429"/>
      <c r="I9" s="2" t="s">
        <v>617</v>
      </c>
      <c r="J9" s="2" t="str">
        <f>IF(E9=1,I9,$I$14)</f>
        <v>alt_1</v>
      </c>
      <c r="K9" s="2"/>
    </row>
    <row r="10" spans="5:11">
      <c r="E10" s="2">
        <f>IF($F$8&gt;=2,1,0)</f>
        <v>1</v>
      </c>
      <c r="F10" s="2" t="s">
        <v>23</v>
      </c>
      <c r="G10" s="2">
        <v>2</v>
      </c>
      <c r="H10" s="429"/>
      <c r="I10" s="2" t="s">
        <v>618</v>
      </c>
      <c r="J10" s="2" t="str">
        <f>IF(E10=1,I10,$I$14)</f>
        <v>alt_2</v>
      </c>
      <c r="K10" s="2"/>
    </row>
    <row r="11" spans="5:11">
      <c r="E11" s="2">
        <f>IF($F$8&gt;=3,1,0)</f>
        <v>1</v>
      </c>
      <c r="F11" s="2" t="s">
        <v>24</v>
      </c>
      <c r="G11" s="2">
        <v>3</v>
      </c>
      <c r="H11" s="429"/>
      <c r="I11" s="2" t="s">
        <v>619</v>
      </c>
      <c r="J11" s="2" t="str">
        <f>IF(E11=1,I11,$I$14)</f>
        <v>alt_3</v>
      </c>
      <c r="K11" s="2"/>
    </row>
    <row r="12" spans="5:11">
      <c r="E12" s="2">
        <f>IF($F$8&gt;=4,1,0)</f>
        <v>1</v>
      </c>
      <c r="F12" s="2" t="s">
        <v>25</v>
      </c>
      <c r="G12" s="2">
        <v>4</v>
      </c>
      <c r="H12" s="429"/>
      <c r="I12" s="2" t="s">
        <v>620</v>
      </c>
      <c r="J12" s="2" t="str">
        <f>IF(E12=1,I12,$I$14)</f>
        <v>alt_4</v>
      </c>
      <c r="K12" s="2"/>
    </row>
    <row r="13" spans="5:11">
      <c r="E13" s="2">
        <f>IF($F$8&gt;=5,1,0)</f>
        <v>1</v>
      </c>
      <c r="F13" s="2" t="s">
        <v>26</v>
      </c>
      <c r="G13" s="2">
        <v>5</v>
      </c>
      <c r="H13" s="429"/>
      <c r="I13" s="2" t="s">
        <v>621</v>
      </c>
      <c r="J13" s="2" t="str">
        <f>IF(E13=1,I13,$I$14)</f>
        <v>alt_5</v>
      </c>
      <c r="K13" s="2"/>
    </row>
    <row r="14" spans="5:11">
      <c r="E14" s="2"/>
      <c r="F14" s="2"/>
      <c r="G14" s="2"/>
      <c r="H14" s="428"/>
      <c r="I14" s="2" t="s">
        <v>397</v>
      </c>
      <c r="J14" s="2"/>
      <c r="K14" s="2"/>
    </row>
    <row r="15" spans="5:11">
      <c r="E15" s="2"/>
      <c r="F15" s="2"/>
      <c r="G15" s="2"/>
      <c r="H15" s="2"/>
      <c r="I15" s="2"/>
      <c r="J15" s="2"/>
      <c r="K15" s="2"/>
    </row>
    <row r="16" spans="5:11">
      <c r="E16" s="2"/>
      <c r="F16" s="2"/>
      <c r="G16" s="2"/>
      <c r="H16" s="2"/>
      <c r="I16" s="2"/>
      <c r="J16" s="2"/>
      <c r="K16" s="2"/>
    </row>
    <row r="17" spans="5:11">
      <c r="E17" s="2"/>
      <c r="F17" s="2"/>
      <c r="G17" s="2"/>
      <c r="H17" s="2"/>
      <c r="I17" s="2"/>
      <c r="J17" s="2"/>
      <c r="K17" s="2"/>
    </row>
    <row r="18" spans="5:11">
      <c r="E18" s="2"/>
      <c r="F18" s="2"/>
      <c r="G18" s="2"/>
      <c r="H18" s="2"/>
      <c r="I18" s="2"/>
      <c r="J18" s="2"/>
      <c r="K18" s="2"/>
    </row>
    <row r="24" spans="5:11">
      <c r="F24" s="428"/>
      <c r="G24" s="428"/>
      <c r="H24" s="428"/>
      <c r="I24" s="428"/>
      <c r="J24" s="2"/>
    </row>
    <row r="25" spans="5:11">
      <c r="F25" s="428"/>
      <c r="G25" s="428"/>
      <c r="H25" s="428"/>
      <c r="I25" s="428"/>
      <c r="J25" s="2"/>
    </row>
    <row r="26" spans="5:11">
      <c r="F26" s="428"/>
      <c r="G26" s="428"/>
      <c r="H26" s="428"/>
      <c r="I26" s="428"/>
      <c r="J26" s="2"/>
    </row>
    <row r="27" spans="5:11">
      <c r="F27" s="428">
        <f>Sheet1!E9</f>
        <v>1</v>
      </c>
      <c r="G27" s="428"/>
      <c r="H27" s="428" t="s">
        <v>627</v>
      </c>
      <c r="I27" s="428" t="str">
        <f>IF(F27=1,H27,$H$32)</f>
        <v>b_1</v>
      </c>
      <c r="J27" s="2"/>
    </row>
    <row r="28" spans="5:11">
      <c r="F28" s="428">
        <f>Sheet1!E10</f>
        <v>1</v>
      </c>
      <c r="G28" s="428"/>
      <c r="H28" s="428" t="s">
        <v>628</v>
      </c>
      <c r="I28" s="428" t="str">
        <f>IF(F28=1,H28,$H$32)</f>
        <v>b_2</v>
      </c>
      <c r="J28" s="2"/>
    </row>
    <row r="29" spans="5:11">
      <c r="F29" s="428">
        <f>Sheet1!E11</f>
        <v>1</v>
      </c>
      <c r="G29" s="428"/>
      <c r="H29" s="428" t="s">
        <v>629</v>
      </c>
      <c r="I29" s="428" t="str">
        <f>IF(F29=1,H29,$H$32)</f>
        <v>b_3</v>
      </c>
      <c r="J29" s="2"/>
    </row>
    <row r="30" spans="5:11">
      <c r="F30" s="428">
        <f>Sheet1!E12</f>
        <v>1</v>
      </c>
      <c r="G30" s="428"/>
      <c r="H30" s="428" t="s">
        <v>630</v>
      </c>
      <c r="I30" s="428" t="str">
        <f>IF(F30=1,H30,$H$32)</f>
        <v>b_4</v>
      </c>
      <c r="J30" s="2"/>
    </row>
    <row r="31" spans="5:11">
      <c r="F31" s="428">
        <f>Sheet1!E13</f>
        <v>1</v>
      </c>
      <c r="G31" s="428"/>
      <c r="H31" s="428" t="s">
        <v>631</v>
      </c>
      <c r="I31" s="428" t="str">
        <f>IF(F31=1,H31,$H$32)</f>
        <v>b_5</v>
      </c>
      <c r="J31" s="2"/>
    </row>
    <row r="32" spans="5:11">
      <c r="F32" s="428"/>
      <c r="G32" s="428"/>
      <c r="H32" s="428" t="s">
        <v>397</v>
      </c>
      <c r="I32" s="428"/>
      <c r="J32" s="2"/>
    </row>
    <row r="33" spans="6:10">
      <c r="F33" s="428"/>
      <c r="G33" s="428"/>
      <c r="H33" s="428"/>
      <c r="I33" s="428"/>
      <c r="J33" s="2"/>
    </row>
    <row r="34" spans="6:10">
      <c r="F34" s="2"/>
      <c r="G34" s="2"/>
      <c r="H34" s="2"/>
      <c r="I34" s="2"/>
      <c r="J34" s="2"/>
    </row>
    <row r="35" spans="6:10">
      <c r="F35" s="2"/>
      <c r="G35" s="2"/>
      <c r="H35" s="2"/>
      <c r="I35" s="2"/>
      <c r="J35" s="2"/>
    </row>
  </sheetData>
  <sheetProtection algorithmName="SHA-512" hashValue="2hjPmAA4O2pcJ92L7J0SylT0D7VMLbIlMMV3IFu4njDDR6Hc62C3XhJJcTlDWD6pGguLs3Lo4DVRxEDOLM6TLg==" saltValue="EHO/01hNC9QfeSXM1FJR5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4FA47-42BD-4BAE-AAB0-9BF5A57C31CE}">
  <sheetPr codeName="Sheet3">
    <pageSetUpPr fitToPage="1"/>
  </sheetPr>
  <dimension ref="B2:AD93"/>
  <sheetViews>
    <sheetView showGridLines="0" zoomScaleNormal="100" workbookViewId="0">
      <selection activeCell="D10" sqref="D10"/>
    </sheetView>
  </sheetViews>
  <sheetFormatPr defaultColWidth="9.140625" defaultRowHeight="14.25"/>
  <cols>
    <col min="1" max="1" width="9.140625" style="2"/>
    <col min="2" max="2" width="77" style="2" bestFit="1" customWidth="1"/>
    <col min="3" max="3" width="38" style="2" bestFit="1" customWidth="1"/>
    <col min="4" max="4" width="72.85546875" style="2" customWidth="1"/>
    <col min="5" max="5" width="4" style="2" customWidth="1"/>
    <col min="6" max="6" width="114.5703125" style="2" bestFit="1" customWidth="1"/>
    <col min="7" max="7" width="9.140625" style="2"/>
    <col min="8" max="12" width="9.140625" style="2" customWidth="1"/>
    <col min="13" max="17" width="9.140625" style="2" hidden="1" customWidth="1"/>
    <col min="18" max="18" width="53.140625" style="2" hidden="1" customWidth="1"/>
    <col min="19" max="19" width="73.85546875" style="2" hidden="1" customWidth="1"/>
    <col min="20" max="20" width="16.28515625" style="2" hidden="1" customWidth="1"/>
    <col min="21" max="30" width="9.140625" style="2" hidden="1" customWidth="1"/>
    <col min="31" max="38" width="9.140625" style="2" customWidth="1"/>
    <col min="39" max="16384" width="9.140625" style="2"/>
  </cols>
  <sheetData>
    <row r="2" spans="2:23" ht="27">
      <c r="B2" s="1" t="s">
        <v>69</v>
      </c>
    </row>
    <row r="3" spans="2:23" ht="15" customHeight="1">
      <c r="B3" s="1"/>
    </row>
    <row r="4" spans="2:23">
      <c r="B4" s="33" t="s">
        <v>70</v>
      </c>
      <c r="C4" s="19"/>
      <c r="D4" s="19"/>
    </row>
    <row r="5" spans="2:23" ht="22.5" customHeight="1">
      <c r="B5" s="19"/>
      <c r="C5" s="19"/>
      <c r="D5" s="19"/>
    </row>
    <row r="6" spans="2:23">
      <c r="B6" s="51" t="s">
        <v>71</v>
      </c>
      <c r="C6" s="51"/>
      <c r="D6" s="19"/>
    </row>
    <row r="7" spans="2:23">
      <c r="B7" s="20" t="s">
        <v>72</v>
      </c>
      <c r="C7" s="130"/>
      <c r="D7" s="19"/>
    </row>
    <row r="8" spans="2:23">
      <c r="B8" s="20" t="s">
        <v>73</v>
      </c>
      <c r="C8" s="130"/>
      <c r="D8" s="19"/>
    </row>
    <row r="9" spans="2:23">
      <c r="B9" s="19"/>
      <c r="C9" s="19"/>
      <c r="D9" s="19"/>
    </row>
    <row r="10" spans="2:23">
      <c r="B10" s="51" t="s">
        <v>69</v>
      </c>
      <c r="C10" s="51" t="s">
        <v>74</v>
      </c>
      <c r="D10" s="19"/>
      <c r="H10" s="35"/>
      <c r="I10" s="35"/>
      <c r="J10" s="35"/>
    </row>
    <row r="11" spans="2:23">
      <c r="B11" s="20" t="s">
        <v>75</v>
      </c>
      <c r="C11" s="130"/>
      <c r="D11" s="19"/>
    </row>
    <row r="12" spans="2:23">
      <c r="B12" s="20" t="s">
        <v>76</v>
      </c>
      <c r="C12" s="130"/>
      <c r="D12" s="19"/>
      <c r="H12" s="6"/>
    </row>
    <row r="13" spans="2:23">
      <c r="B13" s="20" t="s">
        <v>77</v>
      </c>
      <c r="C13" s="130"/>
      <c r="D13" s="19"/>
    </row>
    <row r="14" spans="2:23" ht="15">
      <c r="B14" s="20" t="s">
        <v>78</v>
      </c>
      <c r="C14" s="130"/>
      <c r="D14" s="19"/>
      <c r="W14" s="24" t="s">
        <v>79</v>
      </c>
    </row>
    <row r="15" spans="2:23">
      <c r="B15" s="20" t="s">
        <v>80</v>
      </c>
      <c r="C15" s="130"/>
      <c r="D15" s="19"/>
      <c r="W15" s="9" t="s">
        <v>81</v>
      </c>
    </row>
    <row r="16" spans="2:23">
      <c r="B16" s="20" t="s">
        <v>82</v>
      </c>
      <c r="C16" s="130"/>
      <c r="D16" s="19"/>
      <c r="Q16" s="36" t="s">
        <v>83</v>
      </c>
      <c r="W16" s="9" t="s">
        <v>84</v>
      </c>
    </row>
    <row r="17" spans="2:26">
      <c r="B17" s="20" t="s">
        <v>85</v>
      </c>
      <c r="C17" s="130" t="s">
        <v>79</v>
      </c>
      <c r="D17" s="19"/>
      <c r="W17" s="9" t="s">
        <v>87</v>
      </c>
    </row>
    <row r="18" spans="2:26" ht="15">
      <c r="B18" s="19" t="str">
        <f>IF(C17=W18,W19,"")</f>
        <v/>
      </c>
      <c r="C18" s="19"/>
      <c r="D18" s="19"/>
      <c r="R18" s="24" t="s">
        <v>88</v>
      </c>
      <c r="S18" s="24" t="s">
        <v>89</v>
      </c>
      <c r="T18" s="5"/>
      <c r="W18" s="9" t="s">
        <v>86</v>
      </c>
    </row>
    <row r="19" spans="2:26">
      <c r="B19" s="19"/>
      <c r="C19" s="19"/>
      <c r="D19" s="19"/>
      <c r="R19" s="9" t="s">
        <v>90</v>
      </c>
      <c r="S19" s="9" t="s">
        <v>91</v>
      </c>
      <c r="W19" s="37" t="s">
        <v>92</v>
      </c>
    </row>
    <row r="20" spans="2:26" ht="15">
      <c r="B20" s="51" t="s">
        <v>69</v>
      </c>
      <c r="C20" s="51" t="s">
        <v>74</v>
      </c>
      <c r="D20" s="51" t="s">
        <v>93</v>
      </c>
      <c r="F20" s="38">
        <f>HLOOKUP($C$22,$Q$26:$U$32,P27,FALSE)</f>
        <v>0</v>
      </c>
      <c r="R20" s="9">
        <v>1</v>
      </c>
      <c r="S20" s="9" t="s">
        <v>94</v>
      </c>
    </row>
    <row r="21" spans="2:26">
      <c r="B21" s="20" t="s">
        <v>95</v>
      </c>
      <c r="C21" s="130" t="s">
        <v>90</v>
      </c>
      <c r="D21" s="130"/>
      <c r="F21" s="9">
        <f>HLOOKUP($C$22,$Q$26:$U$32,P28,FALSE)</f>
        <v>0</v>
      </c>
      <c r="R21" s="9">
        <v>2</v>
      </c>
      <c r="S21" s="9" t="s">
        <v>96</v>
      </c>
    </row>
    <row r="22" spans="2:26">
      <c r="B22" s="20" t="s">
        <v>97</v>
      </c>
      <c r="C22" s="130" t="s">
        <v>91</v>
      </c>
      <c r="D22" s="130"/>
      <c r="F22" s="9">
        <f t="shared" ref="F22:F24" si="0">HLOOKUP($C$22,$Q$26:$U$32,P29,FALSE)</f>
        <v>0</v>
      </c>
      <c r="R22" s="9">
        <v>3</v>
      </c>
      <c r="S22" s="9" t="s">
        <v>98</v>
      </c>
    </row>
    <row r="23" spans="2:26">
      <c r="B23" s="20" t="s">
        <v>99</v>
      </c>
      <c r="C23" s="130" t="s">
        <v>100</v>
      </c>
      <c r="D23" s="130"/>
      <c r="F23" s="9">
        <f t="shared" si="0"/>
        <v>0</v>
      </c>
      <c r="R23" s="9">
        <v>4</v>
      </c>
      <c r="S23" s="2" t="s">
        <v>101</v>
      </c>
    </row>
    <row r="24" spans="2:26" ht="15">
      <c r="B24" s="20" t="s">
        <v>102</v>
      </c>
      <c r="C24" s="130">
        <v>50</v>
      </c>
      <c r="D24" s="130"/>
      <c r="F24" s="9">
        <f t="shared" si="0"/>
        <v>0</v>
      </c>
      <c r="H24" s="6"/>
      <c r="R24" s="9">
        <v>5</v>
      </c>
      <c r="Z24" s="5" t="s">
        <v>99</v>
      </c>
    </row>
    <row r="25" spans="2:26" ht="15">
      <c r="B25" s="20" t="s">
        <v>103</v>
      </c>
      <c r="C25" s="130" t="s">
        <v>104</v>
      </c>
      <c r="D25" s="130"/>
      <c r="H25" s="6"/>
      <c r="W25" s="24" t="s">
        <v>104</v>
      </c>
      <c r="X25" s="2" t="s">
        <v>105</v>
      </c>
      <c r="Z25" s="2" t="s">
        <v>100</v>
      </c>
    </row>
    <row r="26" spans="2:26">
      <c r="B26" s="20" t="s">
        <v>106</v>
      </c>
      <c r="C26" s="130">
        <v>2026</v>
      </c>
      <c r="D26" s="130"/>
      <c r="Q26" s="2" t="str">
        <f>S20</f>
        <v>Reduzer</v>
      </c>
      <c r="R26" s="2" t="str">
        <f>S21</f>
        <v>OneClick LCA</v>
      </c>
      <c r="S26" s="2" t="str">
        <f>S23</f>
        <v>Annet (spesifiser)</v>
      </c>
      <c r="T26" s="2" t="s">
        <v>98</v>
      </c>
      <c r="U26" s="2" t="s">
        <v>91</v>
      </c>
      <c r="W26" s="9" t="s">
        <v>107</v>
      </c>
      <c r="X26" s="2" t="s">
        <v>108</v>
      </c>
      <c r="Z26" s="2" t="s">
        <v>109</v>
      </c>
    </row>
    <row r="27" spans="2:26" ht="15">
      <c r="B27" s="20" t="s">
        <v>612</v>
      </c>
      <c r="C27" s="130">
        <v>2028</v>
      </c>
      <c r="D27" s="130"/>
      <c r="P27" s="6">
        <v>2</v>
      </c>
      <c r="Q27" s="24" t="s">
        <v>110</v>
      </c>
      <c r="R27" s="24" t="s">
        <v>111</v>
      </c>
      <c r="S27" s="24" t="s">
        <v>112</v>
      </c>
      <c r="T27" s="24"/>
      <c r="U27" s="24"/>
      <c r="W27" s="9" t="s">
        <v>113</v>
      </c>
      <c r="X27" s="2" t="s">
        <v>113</v>
      </c>
      <c r="Z27" s="2" t="s">
        <v>114</v>
      </c>
    </row>
    <row r="28" spans="2:26" ht="15">
      <c r="B28" s="5"/>
      <c r="P28" s="6">
        <v>3</v>
      </c>
      <c r="Q28" s="9" t="s">
        <v>115</v>
      </c>
      <c r="R28" s="9" t="s">
        <v>116</v>
      </c>
      <c r="S28" s="9" t="s">
        <v>117</v>
      </c>
      <c r="T28" s="9"/>
      <c r="U28" s="9"/>
      <c r="W28" s="9" t="s">
        <v>118</v>
      </c>
      <c r="X28" s="2" t="s">
        <v>118</v>
      </c>
      <c r="Z28" s="2" t="s">
        <v>119</v>
      </c>
    </row>
    <row r="29" spans="2:26" ht="15" customHeight="1">
      <c r="C29" s="1"/>
      <c r="P29" s="6">
        <v>4</v>
      </c>
      <c r="Q29" s="9" t="s">
        <v>120</v>
      </c>
      <c r="R29" s="9" t="s">
        <v>121</v>
      </c>
      <c r="S29" s="9" t="s">
        <v>122</v>
      </c>
      <c r="T29" s="9"/>
      <c r="U29" s="9"/>
      <c r="Z29" s="2" t="s">
        <v>123</v>
      </c>
    </row>
    <row r="30" spans="2:26" ht="27">
      <c r="C30" s="1"/>
      <c r="P30" s="6">
        <v>5</v>
      </c>
      <c r="Q30" s="9"/>
      <c r="R30" s="9" t="s">
        <v>124</v>
      </c>
      <c r="S30" s="9"/>
      <c r="T30" s="9"/>
      <c r="U30" s="9"/>
      <c r="Z30" s="2" t="s">
        <v>125</v>
      </c>
    </row>
    <row r="31" spans="2:26" ht="27">
      <c r="B31" s="1" t="s">
        <v>126</v>
      </c>
      <c r="P31" s="6">
        <v>6</v>
      </c>
      <c r="Q31" s="9"/>
      <c r="R31" s="9" t="s">
        <v>127</v>
      </c>
      <c r="S31" s="9"/>
      <c r="T31" s="9"/>
      <c r="U31" s="9"/>
      <c r="Z31" s="2" t="s">
        <v>128</v>
      </c>
    </row>
    <row r="32" spans="2:26">
      <c r="B32" s="39" t="s">
        <v>129</v>
      </c>
      <c r="C32" s="40"/>
      <c r="D32" s="41"/>
      <c r="E32" s="6"/>
      <c r="F32" s="6"/>
      <c r="G32" s="6"/>
      <c r="Q32" s="9"/>
      <c r="R32" s="9"/>
      <c r="S32" s="9"/>
      <c r="T32" s="9"/>
      <c r="U32" s="9"/>
      <c r="Z32" s="2" t="s">
        <v>101</v>
      </c>
    </row>
    <row r="33" spans="2:21" ht="90" customHeight="1">
      <c r="B33" s="301"/>
      <c r="C33" s="302"/>
      <c r="D33" s="303"/>
    </row>
    <row r="35" spans="2:21">
      <c r="B35" s="39" t="s">
        <v>130</v>
      </c>
      <c r="C35" s="40"/>
      <c r="D35" s="41"/>
    </row>
    <row r="36" spans="2:21" ht="90" customHeight="1">
      <c r="B36" s="304"/>
      <c r="C36" s="305"/>
      <c r="D36" s="306"/>
      <c r="S36" s="42" t="s">
        <v>72</v>
      </c>
      <c r="T36" s="9"/>
      <c r="U36" s="2" t="s">
        <v>131</v>
      </c>
    </row>
    <row r="37" spans="2:21">
      <c r="B37" s="307"/>
      <c r="C37" s="308"/>
      <c r="D37" s="309"/>
      <c r="S37" s="42" t="s">
        <v>73</v>
      </c>
      <c r="T37" s="9"/>
      <c r="U37" s="2" t="s">
        <v>131</v>
      </c>
    </row>
    <row r="38" spans="2:21">
      <c r="S38" s="42" t="s">
        <v>132</v>
      </c>
      <c r="T38" s="9"/>
      <c r="U38" s="2" t="s">
        <v>131</v>
      </c>
    </row>
    <row r="39" spans="2:21">
      <c r="B39" s="39" t="s">
        <v>133</v>
      </c>
      <c r="C39" s="40"/>
      <c r="D39" s="41"/>
      <c r="S39" s="42" t="s">
        <v>134</v>
      </c>
      <c r="T39" s="9"/>
      <c r="U39" s="2" t="s">
        <v>131</v>
      </c>
    </row>
    <row r="40" spans="2:21" ht="90" customHeight="1">
      <c r="B40" s="301"/>
      <c r="C40" s="302"/>
      <c r="D40" s="303"/>
      <c r="N40" s="8" t="s">
        <v>71</v>
      </c>
      <c r="O40" s="8"/>
    </row>
    <row r="42" spans="2:21">
      <c r="B42" s="39" t="s">
        <v>135</v>
      </c>
      <c r="C42" s="40"/>
      <c r="D42" s="41"/>
    </row>
    <row r="43" spans="2:21" ht="90" customHeight="1">
      <c r="B43" s="301"/>
      <c r="C43" s="302"/>
      <c r="D43" s="303"/>
    </row>
    <row r="45" spans="2:21">
      <c r="B45" s="39" t="s">
        <v>136</v>
      </c>
      <c r="C45" s="40"/>
      <c r="D45" s="41"/>
    </row>
    <row r="46" spans="2:21" ht="90" customHeight="1">
      <c r="B46" s="301"/>
      <c r="C46" s="302"/>
      <c r="D46" s="303"/>
    </row>
    <row r="48" spans="2:21">
      <c r="B48" s="39" t="s">
        <v>137</v>
      </c>
      <c r="C48" s="40"/>
      <c r="D48" s="41"/>
    </row>
    <row r="49" spans="2:7" ht="90" customHeight="1">
      <c r="B49" s="301"/>
      <c r="C49" s="302"/>
      <c r="D49" s="303"/>
    </row>
    <row r="51" spans="2:7">
      <c r="B51" s="39" t="s">
        <v>138</v>
      </c>
      <c r="C51" s="40"/>
      <c r="D51" s="41"/>
    </row>
    <row r="52" spans="2:7" ht="90" customHeight="1">
      <c r="B52" s="301"/>
      <c r="C52" s="302"/>
      <c r="D52" s="303"/>
    </row>
    <row r="57" spans="2:7" ht="15" hidden="1" thickBot="1">
      <c r="B57" s="6" t="s">
        <v>139</v>
      </c>
    </row>
    <row r="58" spans="2:7" hidden="1">
      <c r="B58" s="43" t="s">
        <v>140</v>
      </c>
      <c r="C58" s="44"/>
      <c r="D58" s="45"/>
      <c r="E58" s="6"/>
      <c r="F58" s="6"/>
      <c r="G58" s="6"/>
    </row>
    <row r="59" spans="2:7" hidden="1">
      <c r="B59" s="46"/>
      <c r="D59" s="47"/>
    </row>
    <row r="60" spans="2:7" hidden="1">
      <c r="B60" s="46"/>
      <c r="D60" s="47"/>
    </row>
    <row r="61" spans="2:7" hidden="1">
      <c r="B61" s="46"/>
      <c r="D61" s="47"/>
    </row>
    <row r="62" spans="2:7" hidden="1">
      <c r="B62" s="46"/>
      <c r="D62" s="47"/>
    </row>
    <row r="63" spans="2:7" hidden="1">
      <c r="B63" s="46"/>
      <c r="D63" s="47"/>
    </row>
    <row r="64" spans="2:7" hidden="1">
      <c r="B64" s="46"/>
      <c r="D64" s="47"/>
    </row>
    <row r="65" spans="2:7" hidden="1">
      <c r="B65" s="46"/>
      <c r="D65" s="47"/>
    </row>
    <row r="66" spans="2:7" ht="15" hidden="1" thickBot="1">
      <c r="B66" s="48"/>
      <c r="C66" s="49"/>
      <c r="D66" s="50"/>
    </row>
    <row r="67" spans="2:7" hidden="1"/>
    <row r="68" spans="2:7" ht="15" hidden="1" thickBot="1"/>
    <row r="69" spans="2:7" hidden="1">
      <c r="B69" s="43" t="s">
        <v>141</v>
      </c>
      <c r="C69" s="44"/>
      <c r="D69" s="45"/>
      <c r="E69" s="6"/>
      <c r="F69" s="6"/>
      <c r="G69" s="6"/>
    </row>
    <row r="70" spans="2:7" hidden="1">
      <c r="B70" s="46"/>
      <c r="D70" s="47"/>
    </row>
    <row r="71" spans="2:7" hidden="1">
      <c r="B71" s="46"/>
      <c r="D71" s="47"/>
    </row>
    <row r="72" spans="2:7" hidden="1">
      <c r="B72" s="46"/>
      <c r="D72" s="47"/>
    </row>
    <row r="73" spans="2:7" hidden="1">
      <c r="B73" s="46"/>
      <c r="D73" s="47"/>
    </row>
    <row r="74" spans="2:7" hidden="1">
      <c r="B74" s="46"/>
      <c r="D74" s="47"/>
    </row>
    <row r="75" spans="2:7" ht="15" hidden="1" thickBot="1">
      <c r="B75" s="48"/>
      <c r="C75" s="49"/>
      <c r="D75" s="50"/>
    </row>
    <row r="76" spans="2:7" hidden="1"/>
    <row r="77" spans="2:7" ht="15" hidden="1" thickBot="1"/>
    <row r="78" spans="2:7" hidden="1">
      <c r="B78" s="43" t="s">
        <v>142</v>
      </c>
      <c r="C78" s="44"/>
      <c r="D78" s="45"/>
      <c r="E78" s="6"/>
      <c r="F78" s="6"/>
      <c r="G78" s="6"/>
    </row>
    <row r="79" spans="2:7" hidden="1">
      <c r="B79" s="46"/>
      <c r="D79" s="47"/>
    </row>
    <row r="80" spans="2:7" hidden="1">
      <c r="B80" s="46"/>
      <c r="D80" s="47"/>
    </row>
    <row r="81" spans="2:7" hidden="1">
      <c r="B81" s="46"/>
      <c r="D81" s="47"/>
    </row>
    <row r="82" spans="2:7" hidden="1">
      <c r="B82" s="46"/>
      <c r="D82" s="47"/>
    </row>
    <row r="83" spans="2:7" ht="15" hidden="1" thickBot="1">
      <c r="B83" s="48"/>
      <c r="C83" s="49"/>
      <c r="D83" s="50"/>
    </row>
    <row r="84" spans="2:7" hidden="1"/>
    <row r="85" spans="2:7" hidden="1"/>
    <row r="86" spans="2:7" ht="15" hidden="1" thickBot="1">
      <c r="B86" s="2" t="s">
        <v>143</v>
      </c>
      <c r="E86" s="6"/>
      <c r="F86" s="6"/>
      <c r="G86" s="6"/>
    </row>
    <row r="87" spans="2:7" hidden="1">
      <c r="B87" s="43"/>
      <c r="C87" s="44"/>
      <c r="D87" s="45"/>
    </row>
    <row r="88" spans="2:7" hidden="1">
      <c r="B88" s="46"/>
      <c r="D88" s="47"/>
    </row>
    <row r="89" spans="2:7" hidden="1">
      <c r="B89" s="46"/>
      <c r="D89" s="47"/>
    </row>
    <row r="90" spans="2:7" ht="15" hidden="1" thickBot="1">
      <c r="B90" s="48"/>
      <c r="C90" s="49"/>
      <c r="D90" s="50"/>
    </row>
    <row r="91" spans="2:7" hidden="1"/>
    <row r="92" spans="2:7" hidden="1"/>
    <row r="93" spans="2:7" hidden="1"/>
  </sheetData>
  <sheetProtection algorithmName="SHA-512" hashValue="VKmlT04kzBNv+Cx7Hzk0i4OjtLY0G3f4nLJvefpbr5J/NxSqsODz35rAJwMdYEzhnPxVf/df1c/OEc7hxQ4bow==" saltValue="ZwIF2Xrbsk25XMFOUkrMOQ==" spinCount="100000" sheet="1" objects="1" scenarios="1"/>
  <mergeCells count="7">
    <mergeCell ref="B46:D46"/>
    <mergeCell ref="B49:D49"/>
    <mergeCell ref="B52:D52"/>
    <mergeCell ref="B33:D33"/>
    <mergeCell ref="B36:D37"/>
    <mergeCell ref="B40:D40"/>
    <mergeCell ref="B43:D43"/>
  </mergeCells>
  <conditionalFormatting sqref="F20:F24">
    <cfRule type="expression" dxfId="157" priority="2">
      <formula>F20=0</formula>
    </cfRule>
  </conditionalFormatting>
  <conditionalFormatting sqref="F20:F25">
    <cfRule type="expression" dxfId="156" priority="1">
      <formula>F20&lt;&gt;0</formula>
    </cfRule>
  </conditionalFormatting>
  <dataValidations count="5">
    <dataValidation type="list" allowBlank="1" showInputMessage="1" showErrorMessage="1" sqref="C25" xr:uid="{C9A6C7F5-8D16-48D2-B677-9C0EED09AD2F}">
      <formula1>$W$25:$W$28</formula1>
    </dataValidation>
    <dataValidation type="list" allowBlank="1" showInputMessage="1" showErrorMessage="1" sqref="C17" xr:uid="{04DB5396-1EBF-40C8-AC7E-D3894EDF820C}">
      <formula1>$W$14:$W$18</formula1>
    </dataValidation>
    <dataValidation type="list" allowBlank="1" showInputMessage="1" showErrorMessage="1" sqref="C21" xr:uid="{66387A8B-DA59-4CAC-8B2C-58F9CD9EA83D}">
      <formula1>$R$19:$R$24</formula1>
    </dataValidation>
    <dataValidation type="list" allowBlank="1" showInputMessage="1" showErrorMessage="1" sqref="C22" xr:uid="{C8ED9E95-1C29-478C-825F-1C6E67AA7ABE}">
      <formula1>$S$19:$S$23</formula1>
    </dataValidation>
    <dataValidation type="list" allowBlank="1" showInputMessage="1" showErrorMessage="1" sqref="C23" xr:uid="{40391F7B-87AB-48F4-A3C5-F3A222841303}">
      <formula1>$Z$25:$Z$32</formula1>
    </dataValidation>
  </dataValidations>
  <pageMargins left="0.7" right="0.7" top="0.75" bottom="0.75" header="0.3" footer="0.3"/>
  <pageSetup paperSize="9" scale="46" fitToHeight="0"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15ED7-2CFE-4DB6-B6D0-E91EB8D8B582}">
  <sheetPr>
    <pageSetUpPr fitToPage="1"/>
  </sheetPr>
  <dimension ref="C1:CB159"/>
  <sheetViews>
    <sheetView showGridLines="0" zoomScaleNormal="100" workbookViewId="0">
      <selection activeCell="E124" sqref="E124"/>
    </sheetView>
  </sheetViews>
  <sheetFormatPr defaultColWidth="9.140625" defaultRowHeight="14.25"/>
  <cols>
    <col min="1" max="1" width="1.7109375" style="2" customWidth="1"/>
    <col min="2" max="2" width="1" style="2" customWidth="1"/>
    <col min="3" max="3" width="64.85546875" style="2" customWidth="1"/>
    <col min="4" max="4" width="35.140625" style="2" customWidth="1"/>
    <col min="5" max="5" width="18.7109375" style="2" customWidth="1"/>
    <col min="6" max="6" width="17.42578125" style="2" customWidth="1"/>
    <col min="7" max="7" width="16.5703125" style="2" bestFit="1" customWidth="1"/>
    <col min="8" max="8" width="15.5703125" style="2" customWidth="1"/>
    <col min="9" max="9" width="15.140625" style="2" bestFit="1" customWidth="1"/>
    <col min="10" max="10" width="6.140625" style="2" customWidth="1"/>
    <col min="11" max="11" width="11.42578125" style="2" customWidth="1"/>
    <col min="12" max="12" width="30.85546875" style="2" customWidth="1"/>
    <col min="13" max="13" width="6.28515625" style="2" bestFit="1" customWidth="1"/>
    <col min="14" max="14" width="6.140625" style="2" bestFit="1" customWidth="1"/>
    <col min="15" max="15" width="27.42578125" style="2" customWidth="1"/>
    <col min="16" max="16" width="17.42578125" style="2" customWidth="1"/>
    <col min="17" max="17" width="13.85546875" style="2" customWidth="1"/>
    <col min="18" max="18" width="14.7109375" style="2" customWidth="1"/>
    <col min="19" max="20" width="9.140625" style="2" customWidth="1"/>
    <col min="21" max="21" width="3.140625" style="2" hidden="1" customWidth="1"/>
    <col min="22" max="22" width="25" style="2" hidden="1" customWidth="1"/>
    <col min="23" max="23" width="9.140625" style="2" hidden="1" customWidth="1"/>
    <col min="24" max="24" width="13" style="2" hidden="1" customWidth="1"/>
    <col min="25" max="25" width="9.140625" style="2" hidden="1" customWidth="1"/>
    <col min="26" max="26" width="14.42578125" style="2" hidden="1" customWidth="1"/>
    <col min="27" max="27" width="22.85546875" style="2" hidden="1" customWidth="1"/>
    <col min="28" max="30" width="9.140625" style="2" hidden="1" customWidth="1"/>
    <col min="31" max="31" width="29.28515625" style="2" hidden="1" customWidth="1"/>
    <col min="32" max="32" width="31.85546875" style="2" hidden="1" customWidth="1"/>
    <col min="33" max="33" width="32.28515625" style="2" hidden="1" customWidth="1"/>
    <col min="34" max="34" width="18.85546875" style="2" hidden="1" customWidth="1"/>
    <col min="35" max="35" width="37.7109375" style="2" hidden="1" customWidth="1"/>
    <col min="36" max="36" width="9.140625" style="2" hidden="1" customWidth="1"/>
    <col min="37" max="37" width="34.7109375" style="2" hidden="1" customWidth="1"/>
    <col min="38" max="38" width="25.140625" style="2" hidden="1" customWidth="1"/>
    <col min="39" max="39" width="23.85546875" style="2" hidden="1" customWidth="1"/>
    <col min="40" max="40" width="35" style="2" hidden="1" customWidth="1"/>
    <col min="41" max="41" width="20.42578125" style="2" hidden="1" customWidth="1"/>
    <col min="42" max="42" width="9.140625" style="2" hidden="1" customWidth="1"/>
    <col min="43" max="43" width="20.85546875" style="2" hidden="1" customWidth="1"/>
    <col min="44" max="44" width="9.140625" style="2" hidden="1" customWidth="1"/>
    <col min="45" max="45" width="14.140625" style="2" hidden="1" customWidth="1"/>
    <col min="46" max="46" width="19.5703125" style="2" hidden="1" customWidth="1"/>
    <col min="47" max="48" width="9.140625" style="2" hidden="1" customWidth="1"/>
    <col min="49" max="49" width="12.5703125" style="2" hidden="1" customWidth="1"/>
    <col min="50" max="50" width="14.42578125" style="2" hidden="1" customWidth="1"/>
    <col min="51" max="51" width="19.5703125" style="2" hidden="1" customWidth="1"/>
    <col min="52" max="52" width="12" style="2" hidden="1" customWidth="1"/>
    <col min="53" max="53" width="9.140625" style="2" hidden="1" customWidth="1"/>
    <col min="54" max="54" width="13" style="2" hidden="1" customWidth="1"/>
    <col min="55" max="64" width="9.140625" style="2" hidden="1" customWidth="1"/>
    <col min="65" max="65" width="9.5703125" style="2" hidden="1" customWidth="1"/>
    <col min="66" max="66" width="29.5703125" style="2" hidden="1" customWidth="1"/>
    <col min="67" max="67" width="14" style="2" hidden="1" customWidth="1"/>
    <col min="68" max="78" width="9.140625" style="2" hidden="1" customWidth="1"/>
    <col min="79" max="79" width="9.28515625" style="2" hidden="1" customWidth="1"/>
    <col min="80" max="80" width="9.140625" style="2" hidden="1" customWidth="1"/>
    <col min="81" max="81" width="0" style="2" hidden="1" customWidth="1"/>
    <col min="82" max="16384" width="9.140625" style="2"/>
  </cols>
  <sheetData>
    <row r="1" spans="3:79">
      <c r="U1" s="63"/>
      <c r="V1" s="390" t="s">
        <v>144</v>
      </c>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row>
    <row r="2" spans="3:79" ht="27">
      <c r="C2" s="53" t="str">
        <f>"Alternativ 1: "&amp;D4</f>
        <v xml:space="preserve">Alternativ 1: </v>
      </c>
      <c r="D2" s="1"/>
    </row>
    <row r="3" spans="3:79" ht="15.75" customHeight="1"/>
    <row r="4" spans="3:79" ht="15.75" customHeight="1">
      <c r="C4" s="20" t="s">
        <v>145</v>
      </c>
      <c r="D4" s="130"/>
      <c r="E4" s="19"/>
      <c r="F4" s="19"/>
      <c r="G4" s="19"/>
      <c r="H4" s="19"/>
      <c r="I4" s="19"/>
      <c r="J4" s="19"/>
      <c r="K4" s="19"/>
      <c r="L4" s="19"/>
      <c r="M4" s="19"/>
      <c r="N4" s="19"/>
      <c r="O4" s="19"/>
      <c r="AB4" s="151" t="s">
        <v>55</v>
      </c>
      <c r="AC4" s="151" t="s">
        <v>56</v>
      </c>
    </row>
    <row r="5" spans="3:79" ht="15.75" customHeight="1">
      <c r="C5" s="19"/>
      <c r="D5" s="19"/>
      <c r="E5" s="19"/>
      <c r="F5" s="19"/>
      <c r="G5" s="19"/>
      <c r="H5" s="19"/>
      <c r="I5" s="19"/>
      <c r="J5" s="19"/>
      <c r="K5" s="19"/>
      <c r="L5" s="19"/>
      <c r="M5" s="19"/>
      <c r="N5" s="19"/>
      <c r="O5" s="19"/>
      <c r="AA5" s="20" t="s">
        <v>57</v>
      </c>
      <c r="AB5" s="9">
        <f>SUM(E19:E22)</f>
        <v>0</v>
      </c>
      <c r="AC5" s="9">
        <f>SUM(F19:F22)</f>
        <v>0</v>
      </c>
    </row>
    <row r="6" spans="3:79" ht="15.75" customHeight="1">
      <c r="C6" s="19"/>
      <c r="D6" s="19"/>
      <c r="E6" s="19"/>
      <c r="F6" s="19"/>
      <c r="G6" s="19"/>
      <c r="H6" s="19"/>
      <c r="I6" s="19"/>
      <c r="J6" s="19"/>
      <c r="K6" s="19"/>
      <c r="L6" s="19"/>
      <c r="M6" s="19"/>
      <c r="N6" s="19"/>
      <c r="O6" s="19"/>
      <c r="AA6" s="20" t="s">
        <v>58</v>
      </c>
      <c r="AB6" s="9">
        <f>SUM(G19:G22)</f>
        <v>0</v>
      </c>
      <c r="AC6" s="9">
        <f>SUM(H19:H22)</f>
        <v>0</v>
      </c>
    </row>
    <row r="7" spans="3:79" ht="15.75" customHeight="1">
      <c r="C7" s="382" t="s">
        <v>146</v>
      </c>
      <c r="D7" s="382"/>
      <c r="E7" s="382"/>
      <c r="F7" s="382"/>
      <c r="G7" s="382"/>
      <c r="H7" s="382"/>
      <c r="I7" s="382"/>
      <c r="J7" s="382"/>
      <c r="K7" s="382"/>
      <c r="L7" s="382"/>
      <c r="M7" s="382"/>
      <c r="N7" s="382"/>
      <c r="O7" s="382"/>
      <c r="AA7" s="20" t="s">
        <v>59</v>
      </c>
      <c r="AB7" s="9">
        <f>SUM(I19:I22)</f>
        <v>0</v>
      </c>
      <c r="AC7" s="9">
        <f>SUM(J19:J22)</f>
        <v>0</v>
      </c>
    </row>
    <row r="8" spans="3:79" ht="30" customHeight="1">
      <c r="C8" s="152" t="s">
        <v>147</v>
      </c>
      <c r="D8" s="385"/>
      <c r="E8" s="386"/>
      <c r="F8" s="386"/>
      <c r="G8" s="386"/>
      <c r="H8" s="386"/>
      <c r="I8" s="386"/>
      <c r="J8" s="386"/>
      <c r="K8" s="386"/>
      <c r="L8" s="386"/>
      <c r="M8" s="386"/>
      <c r="N8" s="386"/>
      <c r="O8" s="387"/>
      <c r="Z8" s="2" t="s">
        <v>148</v>
      </c>
      <c r="AA8" s="20" t="s">
        <v>60</v>
      </c>
      <c r="AB8" s="9">
        <f>SUMIF($D$23:$D$24,$Z$8,E23:E24)+SUMIF($D$23:$D$24,$Z$8,G23:G24)</f>
        <v>0</v>
      </c>
      <c r="AC8" s="9">
        <f>SUMIF($D$23:$D$24,$Z$8,F23:F24)+SUMIF($D$23:$D$24,$Z$8,H23:H24)</f>
        <v>0</v>
      </c>
    </row>
    <row r="9" spans="3:79" ht="30" customHeight="1">
      <c r="C9" s="153" t="s">
        <v>149</v>
      </c>
      <c r="D9" s="385"/>
      <c r="E9" s="386"/>
      <c r="F9" s="386"/>
      <c r="G9" s="386"/>
      <c r="H9" s="386"/>
      <c r="I9" s="386"/>
      <c r="J9" s="386"/>
      <c r="K9" s="386"/>
      <c r="L9" s="386"/>
      <c r="M9" s="386"/>
      <c r="N9" s="386"/>
      <c r="O9" s="387"/>
      <c r="Z9" s="2" t="s">
        <v>150</v>
      </c>
      <c r="AA9" s="20" t="s">
        <v>61</v>
      </c>
      <c r="AB9" s="9">
        <f>SUMIF($D$23:$D$24,$Z$9,E23:E24)+SUMIF($D$23:$D$24,$Z$9,G23:G24)</f>
        <v>0</v>
      </c>
      <c r="AC9" s="9">
        <f>SUMIF($D$23:$D$24,$Z$9,F23:F24)+SUMIF($D$23:$D$24,$Z$9,H23:H24)</f>
        <v>0</v>
      </c>
    </row>
    <row r="10" spans="3:79" ht="30" customHeight="1">
      <c r="C10" s="152" t="s">
        <v>151</v>
      </c>
      <c r="D10" s="385"/>
      <c r="E10" s="386"/>
      <c r="F10" s="386"/>
      <c r="G10" s="386"/>
      <c r="H10" s="386"/>
      <c r="I10" s="386"/>
      <c r="J10" s="386"/>
      <c r="K10" s="386"/>
      <c r="L10" s="386"/>
      <c r="M10" s="386"/>
      <c r="N10" s="386"/>
      <c r="O10" s="387"/>
    </row>
    <row r="11" spans="3:79" ht="30" customHeight="1">
      <c r="C11" s="152" t="s">
        <v>152</v>
      </c>
      <c r="D11" s="385"/>
      <c r="E11" s="386"/>
      <c r="F11" s="386"/>
      <c r="G11" s="386"/>
      <c r="H11" s="386"/>
      <c r="I11" s="386"/>
      <c r="J11" s="386"/>
      <c r="K11" s="386"/>
      <c r="L11" s="386"/>
      <c r="M11" s="386"/>
      <c r="N11" s="386"/>
      <c r="O11" s="387"/>
    </row>
    <row r="12" spans="3:79" ht="15.75" customHeight="1">
      <c r="C12" s="19"/>
      <c r="D12" s="19"/>
      <c r="E12" s="19"/>
      <c r="F12" s="19"/>
      <c r="G12" s="19"/>
      <c r="H12" s="19"/>
      <c r="I12" s="19"/>
      <c r="J12" s="19"/>
      <c r="K12" s="19"/>
      <c r="L12" s="19"/>
      <c r="M12" s="19"/>
      <c r="N12" s="19"/>
      <c r="O12" s="19"/>
    </row>
    <row r="13" spans="3:79" ht="15.75" customHeight="1">
      <c r="C13" s="19"/>
      <c r="D13" s="19"/>
      <c r="E13" s="19"/>
      <c r="F13" s="19"/>
      <c r="G13" s="19"/>
      <c r="H13" s="19"/>
      <c r="I13" s="19"/>
      <c r="J13" s="19"/>
      <c r="K13" s="19"/>
      <c r="L13" s="19"/>
      <c r="M13" s="19"/>
      <c r="N13" s="19"/>
      <c r="O13" s="19"/>
    </row>
    <row r="14" spans="3:79" ht="15.75" customHeight="1">
      <c r="C14" s="154" t="s">
        <v>153</v>
      </c>
      <c r="D14" s="155"/>
      <c r="E14" s="19"/>
      <c r="F14" s="19"/>
      <c r="G14" s="19"/>
      <c r="H14" s="19"/>
      <c r="I14" s="19"/>
      <c r="J14" s="19"/>
      <c r="K14" s="19"/>
      <c r="L14" s="19"/>
      <c r="M14" s="19"/>
      <c r="N14" s="19"/>
      <c r="O14" s="19"/>
      <c r="AX14" s="274"/>
    </row>
    <row r="15" spans="3:79" ht="15.75" customHeight="1" thickBot="1">
      <c r="C15" s="156" t="s">
        <v>154</v>
      </c>
      <c r="D15" s="157"/>
      <c r="E15" s="19"/>
      <c r="F15" s="19"/>
      <c r="G15" s="19"/>
      <c r="H15" s="19"/>
      <c r="I15" s="19"/>
      <c r="J15" s="19"/>
      <c r="K15" s="19"/>
      <c r="L15" s="19"/>
      <c r="M15" s="19"/>
      <c r="N15" s="19"/>
      <c r="O15" s="19"/>
      <c r="AN15" s="388" t="s">
        <v>155</v>
      </c>
      <c r="AO15" s="388"/>
      <c r="AP15" s="388"/>
      <c r="AQ15" s="388"/>
      <c r="AR15" s="388"/>
      <c r="AS15" s="388"/>
      <c r="AT15" s="388"/>
      <c r="AU15" s="388"/>
      <c r="AV15" s="388"/>
      <c r="AW15" s="388"/>
      <c r="AX15" s="388"/>
      <c r="AY15" s="388"/>
      <c r="AZ15" s="388"/>
      <c r="BA15" s="388"/>
      <c r="BB15" s="388"/>
      <c r="BD15" s="310" t="s">
        <v>156</v>
      </c>
      <c r="BE15" s="310"/>
      <c r="BF15" s="310"/>
      <c r="BG15" s="310"/>
      <c r="BH15" s="310"/>
      <c r="BI15" s="310"/>
      <c r="BJ15" s="310"/>
      <c r="BK15" s="310"/>
      <c r="BL15" s="310"/>
      <c r="BM15" s="310"/>
      <c r="BN15" s="310"/>
      <c r="BO15" s="310"/>
      <c r="BP15" s="5"/>
      <c r="BQ15" s="5"/>
      <c r="BR15" s="5"/>
      <c r="BS15" s="5"/>
      <c r="BT15" s="5"/>
      <c r="BU15" s="5"/>
      <c r="BV15" s="5"/>
      <c r="BW15" s="5"/>
      <c r="BX15" s="5"/>
      <c r="BY15" s="5"/>
      <c r="BZ15" s="5"/>
      <c r="CA15" s="5"/>
    </row>
    <row r="16" spans="3:79" ht="15" thickBot="1">
      <c r="C16" s="19"/>
      <c r="D16" s="19"/>
      <c r="E16" s="19"/>
      <c r="F16" s="19"/>
      <c r="G16" s="19"/>
      <c r="H16" s="19"/>
      <c r="I16" s="19"/>
      <c r="J16" s="19"/>
      <c r="K16" s="19"/>
      <c r="L16" s="19"/>
      <c r="M16" s="19"/>
      <c r="N16" s="19"/>
      <c r="O16" s="19"/>
      <c r="AE16" s="158" t="s">
        <v>157</v>
      </c>
      <c r="AF16" s="159"/>
      <c r="AG16" s="159"/>
      <c r="AH16" s="159"/>
      <c r="AI16" s="159"/>
      <c r="AJ16" s="159"/>
      <c r="AK16" s="160"/>
      <c r="AN16" s="403" t="s">
        <v>158</v>
      </c>
      <c r="AO16" s="404"/>
      <c r="AP16" s="404"/>
      <c r="AQ16" s="404"/>
      <c r="AR16" s="404"/>
      <c r="AS16" s="404"/>
      <c r="AT16" s="404"/>
      <c r="AU16" s="404"/>
      <c r="AV16" s="404"/>
      <c r="AW16" s="404"/>
      <c r="AX16" s="404"/>
      <c r="AY16" s="404"/>
      <c r="AZ16" s="404"/>
      <c r="BA16" s="404"/>
      <c r="BB16" s="405"/>
      <c r="BD16" s="158" t="s">
        <v>157</v>
      </c>
      <c r="BE16" s="159"/>
      <c r="BF16" s="159"/>
      <c r="BG16" s="159"/>
      <c r="BH16" s="159"/>
      <c r="BI16" s="159"/>
      <c r="BJ16" s="160"/>
      <c r="BK16" s="161"/>
      <c r="BM16" s="162" t="s">
        <v>158</v>
      </c>
      <c r="BN16" s="163"/>
      <c r="BO16" s="163"/>
      <c r="BP16" s="163"/>
      <c r="BQ16" s="163"/>
      <c r="BR16" s="163"/>
      <c r="BS16" s="163"/>
      <c r="BT16" s="163"/>
      <c r="BU16" s="163"/>
      <c r="BV16" s="163"/>
      <c r="BW16" s="163"/>
      <c r="BX16" s="163"/>
      <c r="BY16" s="163"/>
      <c r="BZ16" s="163"/>
      <c r="CA16" s="275"/>
    </row>
    <row r="17" spans="3:67" ht="30" customHeight="1">
      <c r="C17" s="164" t="s">
        <v>159</v>
      </c>
      <c r="D17" s="165" t="s">
        <v>160</v>
      </c>
      <c r="E17" s="371" t="s">
        <v>161</v>
      </c>
      <c r="F17" s="372"/>
      <c r="G17" s="373" t="s">
        <v>162</v>
      </c>
      <c r="H17" s="374"/>
      <c r="I17" s="375" t="s">
        <v>163</v>
      </c>
      <c r="J17" s="376"/>
      <c r="K17" s="383" t="s">
        <v>164</v>
      </c>
      <c r="L17" s="377" t="s">
        <v>165</v>
      </c>
      <c r="M17" s="377"/>
      <c r="N17" s="377"/>
      <c r="O17" s="166" t="s">
        <v>93</v>
      </c>
      <c r="V17" s="158" t="s">
        <v>165</v>
      </c>
      <c r="W17" s="159"/>
      <c r="X17" s="160"/>
      <c r="AG17" s="378" t="s">
        <v>166</v>
      </c>
      <c r="AH17" s="378"/>
      <c r="AI17" s="378"/>
      <c r="AJ17" s="378"/>
      <c r="AK17" s="378"/>
      <c r="AN17" s="379" t="s">
        <v>167</v>
      </c>
      <c r="AO17" s="380"/>
      <c r="AP17" s="380"/>
      <c r="AQ17" s="380"/>
      <c r="AR17" s="381"/>
      <c r="AS17" s="397" t="s">
        <v>168</v>
      </c>
      <c r="AT17" s="398"/>
      <c r="AU17" s="398"/>
      <c r="AV17" s="398"/>
      <c r="AW17" s="399"/>
      <c r="AX17" s="400" t="s">
        <v>163</v>
      </c>
      <c r="AY17" s="401"/>
      <c r="AZ17" s="401"/>
      <c r="BA17" s="401"/>
      <c r="BB17" s="402"/>
      <c r="BF17" s="389" t="s">
        <v>166</v>
      </c>
      <c r="BG17" s="389"/>
      <c r="BH17" s="389"/>
      <c r="BI17" s="389"/>
      <c r="BJ17" s="389"/>
      <c r="BK17" s="17"/>
      <c r="BM17" s="2" t="s">
        <v>167</v>
      </c>
      <c r="BN17" s="2" t="s">
        <v>169</v>
      </c>
      <c r="BO17" s="2" t="s">
        <v>170</v>
      </c>
    </row>
    <row r="18" spans="3:67" ht="15" customHeight="1" thickBot="1">
      <c r="C18" s="167"/>
      <c r="D18" s="168"/>
      <c r="E18" s="169" t="s">
        <v>55</v>
      </c>
      <c r="F18" s="51" t="s">
        <v>56</v>
      </c>
      <c r="G18" s="51" t="s">
        <v>55</v>
      </c>
      <c r="H18" s="51" t="s">
        <v>56</v>
      </c>
      <c r="I18" s="51" t="s">
        <v>55</v>
      </c>
      <c r="J18" s="51" t="s">
        <v>56</v>
      </c>
      <c r="K18" s="384"/>
      <c r="L18" s="168" t="s">
        <v>4</v>
      </c>
      <c r="M18" s="168" t="s">
        <v>171</v>
      </c>
      <c r="N18" s="170" t="s">
        <v>172</v>
      </c>
      <c r="O18" s="171"/>
      <c r="V18" s="9" t="s">
        <v>173</v>
      </c>
      <c r="W18" s="9"/>
      <c r="X18" s="9" t="s">
        <v>174</v>
      </c>
      <c r="AE18" s="5" t="s">
        <v>175</v>
      </c>
      <c r="AG18" s="65" t="s">
        <v>176</v>
      </c>
      <c r="AH18" s="65" t="s">
        <v>177</v>
      </c>
      <c r="AI18" s="65" t="s">
        <v>178</v>
      </c>
      <c r="AJ18" s="65" t="s">
        <v>179</v>
      </c>
      <c r="AK18" s="65" t="s">
        <v>180</v>
      </c>
      <c r="AN18" s="172" t="s">
        <v>176</v>
      </c>
      <c r="AO18" s="173" t="s">
        <v>177</v>
      </c>
      <c r="AP18" s="173" t="s">
        <v>178</v>
      </c>
      <c r="AQ18" s="173" t="s">
        <v>179</v>
      </c>
      <c r="AR18" s="174" t="s">
        <v>180</v>
      </c>
      <c r="AS18" s="172" t="s">
        <v>176</v>
      </c>
      <c r="AT18" s="173" t="s">
        <v>177</v>
      </c>
      <c r="AU18" s="173" t="s">
        <v>178</v>
      </c>
      <c r="AV18" s="173" t="s">
        <v>179</v>
      </c>
      <c r="AW18" s="174" t="s">
        <v>180</v>
      </c>
      <c r="AX18" s="175" t="s">
        <v>176</v>
      </c>
      <c r="AY18" s="173" t="s">
        <v>177</v>
      </c>
      <c r="AZ18" s="173" t="s">
        <v>178</v>
      </c>
      <c r="BA18" s="173" t="s">
        <v>179</v>
      </c>
      <c r="BB18" s="174" t="s">
        <v>180</v>
      </c>
      <c r="BF18" s="65" t="s">
        <v>176</v>
      </c>
      <c r="BG18" s="65" t="s">
        <v>177</v>
      </c>
      <c r="BH18" s="65" t="s">
        <v>178</v>
      </c>
      <c r="BI18" s="65" t="s">
        <v>179</v>
      </c>
      <c r="BJ18" s="65" t="s">
        <v>180</v>
      </c>
      <c r="BK18" s="176"/>
      <c r="BM18" s="2" t="s">
        <v>181</v>
      </c>
      <c r="BN18" s="2" t="s">
        <v>181</v>
      </c>
      <c r="BO18" s="2" t="s">
        <v>181</v>
      </c>
    </row>
    <row r="19" spans="3:67">
      <c r="C19" s="177" t="s">
        <v>182</v>
      </c>
      <c r="D19" s="141" t="s">
        <v>188</v>
      </c>
      <c r="E19" s="138"/>
      <c r="F19" s="138"/>
      <c r="G19" s="138"/>
      <c r="H19" s="138"/>
      <c r="I19" s="138"/>
      <c r="J19" s="138"/>
      <c r="K19" s="138"/>
      <c r="L19" s="20" t="str">
        <f t="shared" ref="L19:L24" si="0">IF(VLOOKUP(D19,$AK$133:$AO$151,AN$131,FALSE)=0,"",VLOOKUP(D19,$AK$133:$AO$151,AN$131,FALSE))</f>
        <v/>
      </c>
      <c r="M19" s="138"/>
      <c r="N19" s="178" t="str">
        <f t="shared" ref="N19:N24" si="1">IF(VLOOKUP(D19,$AK$133:$AO$151,AO$131,FALSE)=0,"",VLOOKUP(D19,$AK$133:$AO$151,AO$131,FALSE))</f>
        <v/>
      </c>
      <c r="O19" s="139"/>
      <c r="V19" s="9">
        <f t="shared" ref="V19:V27" si="2">IF(OR(D19=$AK$143,D19=$AK$144),1,0)</f>
        <v>0</v>
      </c>
      <c r="W19" s="9">
        <f t="shared" ref="W19:W27" si="3">IF(D19=$AK$133,0,1)</f>
        <v>0</v>
      </c>
      <c r="X19" s="9">
        <f t="shared" ref="X19:X27" si="4">IF(AND(N19&lt;&gt;"",N19&lt;&gt;$AS$137),1,0)</f>
        <v>0</v>
      </c>
      <c r="AE19" s="9" t="str">
        <f>VLOOKUP(D19,$AK$133:$AX$151,$AW$131,FALSE)</f>
        <v>tom</v>
      </c>
      <c r="AF19" s="9" t="str">
        <f t="shared" ref="AF19:AF24" si="5">IF(OR(D19=$AK$143,D19=$AK$144),AE19&amp;", "&amp;K19,AE19)</f>
        <v>tom</v>
      </c>
      <c r="AG19" s="66">
        <f>VLOOKUP($AF19,Utslippsdata!$B$20:$H$46,Utslippsdata!C$16,FALSE)</f>
        <v>0</v>
      </c>
      <c r="AH19" s="66">
        <f>VLOOKUP($AF19,Utslippsdata!$B$20:$H$46,Utslippsdata!D$16,FALSE)</f>
        <v>0</v>
      </c>
      <c r="AI19" s="66">
        <f>VLOOKUP($AF19,Utslippsdata!$B$20:$H$46,Utslippsdata!E$16,FALSE)</f>
        <v>0</v>
      </c>
      <c r="AJ19" s="66">
        <f>VLOOKUP($AF19,Utslippsdata!$B$20:$H$46,Utslippsdata!F$16,FALSE)</f>
        <v>0</v>
      </c>
      <c r="AK19" s="66">
        <f>VLOOKUP($AF19,Utslippsdata!$B$20:$H$46,Utslippsdata!G$16,FALSE)</f>
        <v>0</v>
      </c>
      <c r="AM19" s="179" t="str">
        <f>AE19</f>
        <v>tom</v>
      </c>
      <c r="AN19" s="180">
        <f>$F19*AG19</f>
        <v>0</v>
      </c>
      <c r="AO19" s="180">
        <f>$F19*AH19</f>
        <v>0</v>
      </c>
      <c r="AP19" s="180">
        <f>$F19*AI19</f>
        <v>0</v>
      </c>
      <c r="AQ19" s="180">
        <f>$F19*AJ19</f>
        <v>0</v>
      </c>
      <c r="AR19" s="181">
        <f>$F19*AK19</f>
        <v>0</v>
      </c>
      <c r="AS19" s="182">
        <f>$H19*AG19</f>
        <v>0</v>
      </c>
      <c r="AT19" s="183">
        <f>$H19*AH19</f>
        <v>0</v>
      </c>
      <c r="AU19" s="183">
        <f>$H19*AI19</f>
        <v>0</v>
      </c>
      <c r="AV19" s="183">
        <f>$H19*AJ19</f>
        <v>0</v>
      </c>
      <c r="AW19" s="184">
        <f>$H19*AK19</f>
        <v>0</v>
      </c>
      <c r="AX19" s="180">
        <f>$J19*AG19</f>
        <v>0</v>
      </c>
      <c r="AY19" s="180">
        <f t="shared" ref="AY19:BB22" si="6">$J19*AH19</f>
        <v>0</v>
      </c>
      <c r="AZ19" s="180">
        <f t="shared" si="6"/>
        <v>0</v>
      </c>
      <c r="BA19" s="180">
        <f t="shared" si="6"/>
        <v>0</v>
      </c>
      <c r="BB19" s="180">
        <f t="shared" si="6"/>
        <v>0</v>
      </c>
      <c r="BD19" s="9" t="str">
        <f>VLOOKUP(D19,$AK$133:$AX$151,$AW$131,FALSE)</f>
        <v>tom</v>
      </c>
      <c r="BE19" s="9" t="str">
        <f t="shared" ref="BE19:BE24" si="7">IF(OR(AC19=$AK$143,AC19=$AK$144),BD19&amp;", "&amp;AJ19,BD19)</f>
        <v>tom</v>
      </c>
      <c r="BF19" s="66">
        <f>VLOOKUP($AF19,Utslippsdata!$BJ$20:$BP$46,Utslippsdata!C$16,FALSE)</f>
        <v>0</v>
      </c>
      <c r="BG19" s="66">
        <f>VLOOKUP($AF19,Utslippsdata!$BJ$20:$BP$46,Utslippsdata!D$16,FALSE)</f>
        <v>0</v>
      </c>
      <c r="BH19" s="66">
        <f>VLOOKUP($AF19,Utslippsdata!$BJ$20:$BP$46,Utslippsdata!E$16,FALSE)</f>
        <v>0</v>
      </c>
      <c r="BI19" s="66">
        <f>VLOOKUP($AF19,Utslippsdata!$BJ$20:$BP$46,Utslippsdata!F$16,FALSE)</f>
        <v>0</v>
      </c>
      <c r="BJ19" s="66">
        <f>VLOOKUP($AF19,Utslippsdata!$BJ$20:$BP$46,Utslippsdata!G$16,FALSE)</f>
        <v>0</v>
      </c>
      <c r="BK19" s="133"/>
      <c r="BL19" s="2" t="str">
        <f>AM19</f>
        <v>tom</v>
      </c>
      <c r="BM19" s="2">
        <f>$F19*(BF19+BG19+BI19)</f>
        <v>0</v>
      </c>
      <c r="BN19" s="2">
        <f>$H19*(BF19+BG19+BI19)</f>
        <v>0</v>
      </c>
      <c r="BO19" s="2">
        <f>BN19+BM19</f>
        <v>0</v>
      </c>
    </row>
    <row r="20" spans="3:67">
      <c r="C20" s="20" t="s">
        <v>184</v>
      </c>
      <c r="D20" s="130" t="s">
        <v>188</v>
      </c>
      <c r="E20" s="138"/>
      <c r="F20" s="138"/>
      <c r="G20" s="138"/>
      <c r="H20" s="138"/>
      <c r="I20" s="138"/>
      <c r="J20" s="138"/>
      <c r="K20" s="138"/>
      <c r="L20" s="20" t="str">
        <f t="shared" si="0"/>
        <v/>
      </c>
      <c r="M20" s="138"/>
      <c r="N20" s="178" t="str">
        <f t="shared" si="1"/>
        <v/>
      </c>
      <c r="O20" s="139"/>
      <c r="V20" s="9">
        <f t="shared" si="2"/>
        <v>0</v>
      </c>
      <c r="W20" s="9">
        <f t="shared" si="3"/>
        <v>0</v>
      </c>
      <c r="X20" s="9">
        <f t="shared" si="4"/>
        <v>0</v>
      </c>
      <c r="AE20" s="9" t="str">
        <f t="shared" ref="AE20:AE24" si="8">VLOOKUP(D20,$AK$133:$AX$151,$AW$131,FALSE)</f>
        <v>tom</v>
      </c>
      <c r="AF20" s="9" t="str">
        <f t="shared" si="5"/>
        <v>tom</v>
      </c>
      <c r="AG20" s="66">
        <f>VLOOKUP($AF20,Utslippsdata!$B$20:$H$46,Utslippsdata!C$16,FALSE)</f>
        <v>0</v>
      </c>
      <c r="AH20" s="66">
        <f>VLOOKUP($AF20,Utslippsdata!$B$20:$H$46,Utslippsdata!D$16,FALSE)</f>
        <v>0</v>
      </c>
      <c r="AI20" s="66">
        <f>VLOOKUP($AF20,Utslippsdata!$B$20:$H$46,Utslippsdata!E$16,FALSE)</f>
        <v>0</v>
      </c>
      <c r="AJ20" s="66">
        <f>VLOOKUP($AF20,Utslippsdata!$B$20:$H$46,Utslippsdata!F$16,FALSE)</f>
        <v>0</v>
      </c>
      <c r="AK20" s="66">
        <f>VLOOKUP($AF20,Utslippsdata!$B$20:$H$46,Utslippsdata!G$16,FALSE)</f>
        <v>0</v>
      </c>
      <c r="AM20" s="185" t="str">
        <f t="shared" ref="AM20:AM24" si="9">AE20</f>
        <v>tom</v>
      </c>
      <c r="AN20" s="180">
        <f t="shared" ref="AN20:AN22" si="10">$F20*AG20</f>
        <v>0</v>
      </c>
      <c r="AO20" s="180">
        <f t="shared" ref="AO20:AO22" si="11">$F20*AH20</f>
        <v>0</v>
      </c>
      <c r="AP20" s="180">
        <f t="shared" ref="AP20:AP22" si="12">$F20*AI20</f>
        <v>0</v>
      </c>
      <c r="AQ20" s="180">
        <f t="shared" ref="AQ20:AQ22" si="13">$F20*AJ20</f>
        <v>0</v>
      </c>
      <c r="AR20" s="181">
        <f t="shared" ref="AR20:AR22" si="14">$F20*AK20</f>
        <v>0</v>
      </c>
      <c r="AS20" s="186">
        <f t="shared" ref="AS20:AS22" si="15">$H20*AG20</f>
        <v>0</v>
      </c>
      <c r="AT20" s="180">
        <f t="shared" ref="AT20:AT22" si="16">$H20*AH20</f>
        <v>0</v>
      </c>
      <c r="AU20" s="180">
        <f t="shared" ref="AU20:AU22" si="17">$H20*AI20</f>
        <v>0</v>
      </c>
      <c r="AV20" s="180">
        <f t="shared" ref="AV20:AV22" si="18">$H20*AJ20</f>
        <v>0</v>
      </c>
      <c r="AW20" s="187">
        <f t="shared" ref="AW20:AW22" si="19">$H20*AK20</f>
        <v>0</v>
      </c>
      <c r="AX20" s="180">
        <f t="shared" ref="AX20:AX22" si="20">$J20*AG20</f>
        <v>0</v>
      </c>
      <c r="AY20" s="180">
        <f t="shared" si="6"/>
        <v>0</v>
      </c>
      <c r="AZ20" s="180">
        <f t="shared" si="6"/>
        <v>0</v>
      </c>
      <c r="BA20" s="180">
        <f t="shared" si="6"/>
        <v>0</v>
      </c>
      <c r="BB20" s="180">
        <f t="shared" si="6"/>
        <v>0</v>
      </c>
      <c r="BD20" s="9" t="str">
        <f t="shared" ref="BD20:BD24" si="21">VLOOKUP(D20,$AK$133:$AX$151,$AW$131,FALSE)</f>
        <v>tom</v>
      </c>
      <c r="BE20" s="9" t="str">
        <f t="shared" si="7"/>
        <v>tom</v>
      </c>
      <c r="BF20" s="66">
        <f>VLOOKUP($AF20,Utslippsdata!$BJ$20:$BP$46,Utslippsdata!C$16,FALSE)</f>
        <v>0</v>
      </c>
      <c r="BG20" s="66">
        <f>VLOOKUP($AF20,Utslippsdata!$BJ$20:$BP$46,Utslippsdata!D$16,FALSE)</f>
        <v>0</v>
      </c>
      <c r="BH20" s="66">
        <f>VLOOKUP($AF20,Utslippsdata!$BJ$20:$BP$46,Utslippsdata!E$16,FALSE)</f>
        <v>0</v>
      </c>
      <c r="BI20" s="66">
        <f>VLOOKUP($AF20,Utslippsdata!$BJ$20:$BP$46,Utslippsdata!F$16,FALSE)</f>
        <v>0</v>
      </c>
      <c r="BJ20" s="66">
        <f>VLOOKUP($AF20,Utslippsdata!$BJ$20:$BP$46,Utslippsdata!G$16,FALSE)</f>
        <v>0</v>
      </c>
      <c r="BK20" s="133"/>
      <c r="BL20" s="2" t="str">
        <f t="shared" ref="BL20:BL24" si="22">AM20</f>
        <v>tom</v>
      </c>
      <c r="BM20" s="2">
        <f>$F20*(BF20+BG20+BI20)</f>
        <v>0</v>
      </c>
      <c r="BN20" s="2">
        <f>$H20*(BF20+BG20+BI20)</f>
        <v>0</v>
      </c>
      <c r="BO20" s="2">
        <f>BN20+BM20</f>
        <v>0</v>
      </c>
    </row>
    <row r="21" spans="3:67">
      <c r="C21" s="20" t="s">
        <v>186</v>
      </c>
      <c r="D21" s="130" t="s">
        <v>188</v>
      </c>
      <c r="E21" s="138"/>
      <c r="F21" s="138"/>
      <c r="G21" s="138"/>
      <c r="H21" s="138"/>
      <c r="I21" s="138"/>
      <c r="J21" s="138"/>
      <c r="K21" s="138"/>
      <c r="L21" s="20" t="str">
        <f t="shared" si="0"/>
        <v/>
      </c>
      <c r="M21" s="138"/>
      <c r="N21" s="178" t="str">
        <f t="shared" si="1"/>
        <v/>
      </c>
      <c r="O21" s="139"/>
      <c r="V21" s="9">
        <f t="shared" si="2"/>
        <v>0</v>
      </c>
      <c r="W21" s="9">
        <f t="shared" si="3"/>
        <v>0</v>
      </c>
      <c r="X21" s="9">
        <f t="shared" si="4"/>
        <v>0</v>
      </c>
      <c r="AE21" s="9" t="str">
        <f t="shared" si="8"/>
        <v>tom</v>
      </c>
      <c r="AF21" s="9" t="str">
        <f t="shared" si="5"/>
        <v>tom</v>
      </c>
      <c r="AG21" s="66">
        <f>VLOOKUP($AF21,Utslippsdata!$B$20:$H$46,Utslippsdata!C$16,FALSE)</f>
        <v>0</v>
      </c>
      <c r="AH21" s="66">
        <f>VLOOKUP($AF21,Utslippsdata!$B$20:$H$46,Utslippsdata!D$16,FALSE)</f>
        <v>0</v>
      </c>
      <c r="AI21" s="66">
        <f>VLOOKUP($AF21,Utslippsdata!$B$20:$H$46,Utslippsdata!E$16,FALSE)</f>
        <v>0</v>
      </c>
      <c r="AJ21" s="66">
        <f>VLOOKUP($AF21,Utslippsdata!$B$20:$H$46,Utslippsdata!F$16,FALSE)</f>
        <v>0</v>
      </c>
      <c r="AK21" s="66">
        <f>VLOOKUP($AF21,Utslippsdata!$B$20:$H$46,Utslippsdata!G$16,FALSE)</f>
        <v>0</v>
      </c>
      <c r="AM21" s="185" t="str">
        <f t="shared" si="9"/>
        <v>tom</v>
      </c>
      <c r="AN21" s="180">
        <f t="shared" si="10"/>
        <v>0</v>
      </c>
      <c r="AO21" s="180">
        <f t="shared" si="11"/>
        <v>0</v>
      </c>
      <c r="AP21" s="180">
        <f t="shared" si="12"/>
        <v>0</v>
      </c>
      <c r="AQ21" s="180">
        <f t="shared" si="13"/>
        <v>0</v>
      </c>
      <c r="AR21" s="181">
        <f t="shared" si="14"/>
        <v>0</v>
      </c>
      <c r="AS21" s="186">
        <f t="shared" si="15"/>
        <v>0</v>
      </c>
      <c r="AT21" s="180">
        <f t="shared" si="16"/>
        <v>0</v>
      </c>
      <c r="AU21" s="180">
        <f t="shared" si="17"/>
        <v>0</v>
      </c>
      <c r="AV21" s="180">
        <f t="shared" si="18"/>
        <v>0</v>
      </c>
      <c r="AW21" s="187">
        <f t="shared" si="19"/>
        <v>0</v>
      </c>
      <c r="AX21" s="180">
        <f t="shared" si="20"/>
        <v>0</v>
      </c>
      <c r="AY21" s="180">
        <f t="shared" si="6"/>
        <v>0</v>
      </c>
      <c r="AZ21" s="180">
        <f t="shared" si="6"/>
        <v>0</v>
      </c>
      <c r="BA21" s="180">
        <f t="shared" si="6"/>
        <v>0</v>
      </c>
      <c r="BB21" s="180">
        <f t="shared" si="6"/>
        <v>0</v>
      </c>
      <c r="BD21" s="9" t="str">
        <f t="shared" si="21"/>
        <v>tom</v>
      </c>
      <c r="BE21" s="9" t="str">
        <f t="shared" si="7"/>
        <v>tom</v>
      </c>
      <c r="BF21" s="66">
        <f>VLOOKUP($AF21,Utslippsdata!$BJ$20:$BP$46,Utslippsdata!C$16,FALSE)</f>
        <v>0</v>
      </c>
      <c r="BG21" s="66">
        <f>VLOOKUP($AF21,Utslippsdata!$BJ$20:$BP$46,Utslippsdata!D$16,FALSE)</f>
        <v>0</v>
      </c>
      <c r="BH21" s="66">
        <f>VLOOKUP($AF21,Utslippsdata!$BJ$20:$BP$46,Utslippsdata!E$16,FALSE)</f>
        <v>0</v>
      </c>
      <c r="BI21" s="66">
        <f>VLOOKUP($AF21,Utslippsdata!$BJ$20:$BP$46,Utslippsdata!F$16,FALSE)</f>
        <v>0</v>
      </c>
      <c r="BJ21" s="66">
        <f>VLOOKUP($AF21,Utslippsdata!$BJ$20:$BP$46,Utslippsdata!G$16,FALSE)</f>
        <v>0</v>
      </c>
      <c r="BK21" s="133"/>
      <c r="BL21" s="2" t="str">
        <f t="shared" si="22"/>
        <v>tom</v>
      </c>
      <c r="BM21" s="2">
        <f t="shared" ref="BM21:BM24" si="23">$F21*(BF21+BG21+BI21)</f>
        <v>0</v>
      </c>
      <c r="BN21" s="2">
        <f t="shared" ref="BN21:BN24" si="24">$H21*(BF21+BG21+BI21)</f>
        <v>0</v>
      </c>
      <c r="BO21" s="2">
        <f t="shared" ref="BO21:BO24" si="25">BN21+BM21</f>
        <v>0</v>
      </c>
    </row>
    <row r="22" spans="3:67">
      <c r="C22" s="20" t="s">
        <v>187</v>
      </c>
      <c r="D22" s="130" t="s">
        <v>188</v>
      </c>
      <c r="E22" s="138"/>
      <c r="F22" s="138"/>
      <c r="G22" s="138"/>
      <c r="H22" s="138"/>
      <c r="I22" s="138"/>
      <c r="J22" s="138"/>
      <c r="K22" s="138"/>
      <c r="L22" s="20" t="str">
        <f t="shared" si="0"/>
        <v/>
      </c>
      <c r="M22" s="138"/>
      <c r="N22" s="178" t="str">
        <f t="shared" si="1"/>
        <v/>
      </c>
      <c r="O22" s="139"/>
      <c r="V22" s="9">
        <f t="shared" si="2"/>
        <v>0</v>
      </c>
      <c r="W22" s="9">
        <f t="shared" si="3"/>
        <v>0</v>
      </c>
      <c r="X22" s="9">
        <f t="shared" si="4"/>
        <v>0</v>
      </c>
      <c r="AE22" s="9" t="str">
        <f t="shared" si="8"/>
        <v>tom</v>
      </c>
      <c r="AF22" s="9" t="str">
        <f t="shared" si="5"/>
        <v>tom</v>
      </c>
      <c r="AG22" s="66">
        <f>VLOOKUP($AF22,Utslippsdata!$B$20:$H$46,Utslippsdata!C$16,FALSE)</f>
        <v>0</v>
      </c>
      <c r="AH22" s="66">
        <f>VLOOKUP($AF22,Utslippsdata!$B$20:$H$46,Utslippsdata!D$16,FALSE)</f>
        <v>0</v>
      </c>
      <c r="AI22" s="66">
        <f>VLOOKUP($AF22,Utslippsdata!$B$20:$H$46,Utslippsdata!E$16,FALSE)</f>
        <v>0</v>
      </c>
      <c r="AJ22" s="66">
        <f>VLOOKUP($AF22,Utslippsdata!$B$20:$H$46,Utslippsdata!F$16,FALSE)</f>
        <v>0</v>
      </c>
      <c r="AK22" s="66">
        <f>VLOOKUP($AF22,Utslippsdata!$B$20:$H$46,Utslippsdata!G$16,FALSE)</f>
        <v>0</v>
      </c>
      <c r="AM22" s="185" t="str">
        <f t="shared" si="9"/>
        <v>tom</v>
      </c>
      <c r="AN22" s="180">
        <f t="shared" si="10"/>
        <v>0</v>
      </c>
      <c r="AO22" s="180">
        <f t="shared" si="11"/>
        <v>0</v>
      </c>
      <c r="AP22" s="180">
        <f t="shared" si="12"/>
        <v>0</v>
      </c>
      <c r="AQ22" s="180">
        <f t="shared" si="13"/>
        <v>0</v>
      </c>
      <c r="AR22" s="181">
        <f t="shared" si="14"/>
        <v>0</v>
      </c>
      <c r="AS22" s="186">
        <f t="shared" si="15"/>
        <v>0</v>
      </c>
      <c r="AT22" s="180">
        <f t="shared" si="16"/>
        <v>0</v>
      </c>
      <c r="AU22" s="180">
        <f t="shared" si="17"/>
        <v>0</v>
      </c>
      <c r="AV22" s="180">
        <f t="shared" si="18"/>
        <v>0</v>
      </c>
      <c r="AW22" s="187">
        <f t="shared" si="19"/>
        <v>0</v>
      </c>
      <c r="AX22" s="180">
        <f t="shared" si="20"/>
        <v>0</v>
      </c>
      <c r="AY22" s="180">
        <f t="shared" si="6"/>
        <v>0</v>
      </c>
      <c r="AZ22" s="180">
        <f t="shared" si="6"/>
        <v>0</v>
      </c>
      <c r="BA22" s="180">
        <f t="shared" si="6"/>
        <v>0</v>
      </c>
      <c r="BB22" s="180">
        <f t="shared" si="6"/>
        <v>0</v>
      </c>
      <c r="BD22" s="9" t="str">
        <f t="shared" si="21"/>
        <v>tom</v>
      </c>
      <c r="BE22" s="9" t="str">
        <f t="shared" si="7"/>
        <v>tom</v>
      </c>
      <c r="BF22" s="66">
        <f>VLOOKUP($AF22,Utslippsdata!$BJ$20:$BP$46,Utslippsdata!C$16,FALSE)</f>
        <v>0</v>
      </c>
      <c r="BG22" s="66">
        <f>VLOOKUP($AF22,Utslippsdata!$BJ$20:$BP$46,Utslippsdata!D$16,FALSE)</f>
        <v>0</v>
      </c>
      <c r="BH22" s="66">
        <f>VLOOKUP($AF22,Utslippsdata!$BJ$20:$BP$46,Utslippsdata!E$16,FALSE)</f>
        <v>0</v>
      </c>
      <c r="BI22" s="66">
        <f>VLOOKUP($AF22,Utslippsdata!$BJ$20:$BP$46,Utslippsdata!F$16,FALSE)</f>
        <v>0</v>
      </c>
      <c r="BJ22" s="66">
        <f>VLOOKUP($AF22,Utslippsdata!$BJ$20:$BP$46,Utslippsdata!G$16,FALSE)</f>
        <v>0</v>
      </c>
      <c r="BK22" s="133"/>
      <c r="BL22" s="2" t="str">
        <f t="shared" si="22"/>
        <v>tom</v>
      </c>
      <c r="BM22" s="2">
        <f t="shared" si="23"/>
        <v>0</v>
      </c>
      <c r="BN22" s="2">
        <f t="shared" si="24"/>
        <v>0</v>
      </c>
      <c r="BO22" s="2">
        <f t="shared" si="25"/>
        <v>0</v>
      </c>
    </row>
    <row r="23" spans="3:67">
      <c r="C23" s="20" t="s">
        <v>189</v>
      </c>
      <c r="D23" s="130" t="s">
        <v>188</v>
      </c>
      <c r="E23" s="138"/>
      <c r="F23" s="138"/>
      <c r="G23" s="138"/>
      <c r="H23" s="138"/>
      <c r="I23" s="138"/>
      <c r="J23" s="138"/>
      <c r="K23" s="138"/>
      <c r="L23" s="20" t="str">
        <f t="shared" si="0"/>
        <v/>
      </c>
      <c r="M23" s="138"/>
      <c r="N23" s="178" t="str">
        <f t="shared" si="1"/>
        <v/>
      </c>
      <c r="O23" s="139"/>
      <c r="V23" s="9">
        <f t="shared" si="2"/>
        <v>0</v>
      </c>
      <c r="W23" s="9">
        <f t="shared" si="3"/>
        <v>0</v>
      </c>
      <c r="X23" s="9">
        <f t="shared" si="4"/>
        <v>0</v>
      </c>
      <c r="AE23" s="9" t="str">
        <f t="shared" si="8"/>
        <v>tom</v>
      </c>
      <c r="AF23" s="9" t="str">
        <f t="shared" si="5"/>
        <v>tom</v>
      </c>
      <c r="AG23" s="66">
        <f>VLOOKUP($AF23,Utslippsdata!$B$20:$H$46,Utslippsdata!C$16,FALSE)</f>
        <v>0</v>
      </c>
      <c r="AH23" s="66">
        <f>VLOOKUP($AF23,Utslippsdata!$B$20:$H$46,Utslippsdata!D$16,FALSE)</f>
        <v>0</v>
      </c>
      <c r="AI23" s="66">
        <f>VLOOKUP($AF23,Utslippsdata!$B$20:$H$46,Utslippsdata!E$16,FALSE)</f>
        <v>0</v>
      </c>
      <c r="AJ23" s="66">
        <f>VLOOKUP($AF23,Utslippsdata!$B$20:$H$46,Utslippsdata!F$16,FALSE)</f>
        <v>0</v>
      </c>
      <c r="AK23" s="66">
        <f>VLOOKUP($AF23,Utslippsdata!$B$20:$H$46,Utslippsdata!G$16,FALSE)</f>
        <v>0</v>
      </c>
      <c r="AM23" s="185" t="str">
        <f t="shared" si="9"/>
        <v>tom</v>
      </c>
      <c r="AN23" s="180">
        <f t="shared" ref="AN23:AR24" si="26">$F23*AG23</f>
        <v>0</v>
      </c>
      <c r="AO23" s="180">
        <f t="shared" si="26"/>
        <v>0</v>
      </c>
      <c r="AP23" s="180">
        <f t="shared" si="26"/>
        <v>0</v>
      </c>
      <c r="AQ23" s="180">
        <f t="shared" si="26"/>
        <v>0</v>
      </c>
      <c r="AR23" s="181">
        <f t="shared" si="26"/>
        <v>0</v>
      </c>
      <c r="AS23" s="186">
        <f t="shared" ref="AS23:AW24" si="27">$H23*AG23</f>
        <v>0</v>
      </c>
      <c r="AT23" s="180">
        <f t="shared" si="27"/>
        <v>0</v>
      </c>
      <c r="AU23" s="180">
        <f t="shared" si="27"/>
        <v>0</v>
      </c>
      <c r="AV23" s="180">
        <f t="shared" si="27"/>
        <v>0</v>
      </c>
      <c r="AW23" s="187">
        <f t="shared" si="27"/>
        <v>0</v>
      </c>
      <c r="AX23" s="180">
        <f t="shared" ref="AX23:BB24" si="28">$J23*AG23</f>
        <v>0</v>
      </c>
      <c r="AY23" s="180">
        <f t="shared" si="28"/>
        <v>0</v>
      </c>
      <c r="AZ23" s="180">
        <f t="shared" si="28"/>
        <v>0</v>
      </c>
      <c r="BA23" s="180">
        <f t="shared" si="28"/>
        <v>0</v>
      </c>
      <c r="BB23" s="180">
        <f t="shared" si="28"/>
        <v>0</v>
      </c>
      <c r="BD23" s="9" t="str">
        <f t="shared" si="21"/>
        <v>tom</v>
      </c>
      <c r="BE23" s="9" t="str">
        <f t="shared" si="7"/>
        <v>tom</v>
      </c>
      <c r="BF23" s="66">
        <f>VLOOKUP($AF23,Utslippsdata!$BJ$20:$BP$46,Utslippsdata!C$16,FALSE)</f>
        <v>0</v>
      </c>
      <c r="BG23" s="66">
        <f>VLOOKUP($AF23,Utslippsdata!$BJ$20:$BP$46,Utslippsdata!D$16,FALSE)</f>
        <v>0</v>
      </c>
      <c r="BH23" s="66">
        <f>VLOOKUP($AF23,Utslippsdata!$BJ$20:$BP$46,Utslippsdata!E$16,FALSE)</f>
        <v>0</v>
      </c>
      <c r="BI23" s="66">
        <f>VLOOKUP($AF23,Utslippsdata!$BJ$20:$BP$46,Utslippsdata!F$16,FALSE)</f>
        <v>0</v>
      </c>
      <c r="BJ23" s="66">
        <f>VLOOKUP($AF23,Utslippsdata!$BJ$20:$BP$46,Utslippsdata!G$16,FALSE)</f>
        <v>0</v>
      </c>
      <c r="BK23" s="133"/>
      <c r="BL23" s="2" t="str">
        <f t="shared" si="22"/>
        <v>tom</v>
      </c>
      <c r="BM23" s="2">
        <f t="shared" si="23"/>
        <v>0</v>
      </c>
      <c r="BN23" s="2">
        <f t="shared" si="24"/>
        <v>0</v>
      </c>
      <c r="BO23" s="2">
        <f t="shared" si="25"/>
        <v>0</v>
      </c>
    </row>
    <row r="24" spans="3:67">
      <c r="C24" s="20" t="s">
        <v>190</v>
      </c>
      <c r="D24" s="130" t="s">
        <v>188</v>
      </c>
      <c r="E24" s="138"/>
      <c r="F24" s="138"/>
      <c r="G24" s="138"/>
      <c r="H24" s="138"/>
      <c r="I24" s="138"/>
      <c r="J24" s="138"/>
      <c r="K24" s="138"/>
      <c r="L24" s="20" t="str">
        <f t="shared" si="0"/>
        <v/>
      </c>
      <c r="M24" s="138"/>
      <c r="N24" s="178" t="str">
        <f t="shared" si="1"/>
        <v/>
      </c>
      <c r="O24" s="139"/>
      <c r="V24" s="9">
        <f t="shared" si="2"/>
        <v>0</v>
      </c>
      <c r="W24" s="9">
        <f t="shared" si="3"/>
        <v>0</v>
      </c>
      <c r="X24" s="9">
        <f t="shared" si="4"/>
        <v>0</v>
      </c>
      <c r="AE24" s="9" t="str">
        <f t="shared" si="8"/>
        <v>tom</v>
      </c>
      <c r="AF24" s="9" t="str">
        <f t="shared" si="5"/>
        <v>tom</v>
      </c>
      <c r="AG24" s="66">
        <f>VLOOKUP($AF24,Utslippsdata!$B$20:$H$46,Utslippsdata!C$16,FALSE)</f>
        <v>0</v>
      </c>
      <c r="AH24" s="66">
        <f>VLOOKUP($AF24,Utslippsdata!$B$20:$H$46,Utslippsdata!D$16,FALSE)</f>
        <v>0</v>
      </c>
      <c r="AI24" s="66">
        <f>VLOOKUP($AF24,Utslippsdata!$B$20:$H$46,Utslippsdata!E$16,FALSE)</f>
        <v>0</v>
      </c>
      <c r="AJ24" s="66">
        <f>VLOOKUP($AF24,Utslippsdata!$B$20:$H$46,Utslippsdata!F$16,FALSE)</f>
        <v>0</v>
      </c>
      <c r="AK24" s="66">
        <f>VLOOKUP($AF24,Utslippsdata!$B$20:$H$46,Utslippsdata!G$16,FALSE)</f>
        <v>0</v>
      </c>
      <c r="AM24" s="185" t="str">
        <f t="shared" si="9"/>
        <v>tom</v>
      </c>
      <c r="AN24" s="180">
        <f t="shared" si="26"/>
        <v>0</v>
      </c>
      <c r="AO24" s="180">
        <f t="shared" si="26"/>
        <v>0</v>
      </c>
      <c r="AP24" s="180">
        <f t="shared" si="26"/>
        <v>0</v>
      </c>
      <c r="AQ24" s="180">
        <f t="shared" si="26"/>
        <v>0</v>
      </c>
      <c r="AR24" s="181">
        <f t="shared" si="26"/>
        <v>0</v>
      </c>
      <c r="AS24" s="186">
        <f>$H24*AG24</f>
        <v>0</v>
      </c>
      <c r="AT24" s="180">
        <f t="shared" si="27"/>
        <v>0</v>
      </c>
      <c r="AU24" s="180">
        <f t="shared" si="27"/>
        <v>0</v>
      </c>
      <c r="AV24" s="180">
        <f t="shared" si="27"/>
        <v>0</v>
      </c>
      <c r="AW24" s="187">
        <f t="shared" si="27"/>
        <v>0</v>
      </c>
      <c r="AX24" s="180">
        <f t="shared" si="28"/>
        <v>0</v>
      </c>
      <c r="AY24" s="180">
        <f t="shared" si="28"/>
        <v>0</v>
      </c>
      <c r="AZ24" s="180">
        <f t="shared" si="28"/>
        <v>0</v>
      </c>
      <c r="BA24" s="180">
        <f t="shared" si="28"/>
        <v>0</v>
      </c>
      <c r="BB24" s="180">
        <f t="shared" si="28"/>
        <v>0</v>
      </c>
      <c r="BD24" s="9" t="str">
        <f t="shared" si="21"/>
        <v>tom</v>
      </c>
      <c r="BE24" s="9" t="str">
        <f t="shared" si="7"/>
        <v>tom</v>
      </c>
      <c r="BF24" s="66">
        <f>VLOOKUP($AF24,Utslippsdata!$BJ$20:$BP$46,Utslippsdata!C$16,FALSE)</f>
        <v>0</v>
      </c>
      <c r="BG24" s="66">
        <f>VLOOKUP($AF24,Utslippsdata!$BJ$20:$BP$46,Utslippsdata!D$16,FALSE)</f>
        <v>0</v>
      </c>
      <c r="BH24" s="66">
        <f>VLOOKUP($AF24,Utslippsdata!$BJ$20:$BP$46,Utslippsdata!E$16,FALSE)</f>
        <v>0</v>
      </c>
      <c r="BI24" s="66">
        <f>VLOOKUP($AF24,Utslippsdata!$BJ$20:$BP$46,Utslippsdata!F$16,FALSE)</f>
        <v>0</v>
      </c>
      <c r="BJ24" s="66">
        <f>VLOOKUP($AF24,Utslippsdata!$BJ$20:$BP$46,Utslippsdata!G$16,FALSE)</f>
        <v>0</v>
      </c>
      <c r="BK24" s="133"/>
      <c r="BL24" s="2" t="str">
        <f t="shared" si="22"/>
        <v>tom</v>
      </c>
      <c r="BM24" s="2">
        <f t="shared" si="23"/>
        <v>0</v>
      </c>
      <c r="BN24" s="2">
        <f t="shared" si="24"/>
        <v>0</v>
      </c>
      <c r="BO24" s="2">
        <f t="shared" si="25"/>
        <v>0</v>
      </c>
    </row>
    <row r="25" spans="3:67" ht="15.75" thickBot="1">
      <c r="C25" s="20" t="s">
        <v>191</v>
      </c>
      <c r="D25" s="20" t="s">
        <v>192</v>
      </c>
      <c r="E25" s="368"/>
      <c r="F25" s="368"/>
      <c r="G25" s="326"/>
      <c r="H25" s="327"/>
      <c r="I25" s="369"/>
      <c r="J25" s="370"/>
      <c r="K25" s="188"/>
      <c r="L25" s="189"/>
      <c r="M25" s="189"/>
      <c r="N25" s="190"/>
      <c r="O25" s="139"/>
      <c r="P25" s="6"/>
      <c r="Q25" s="6"/>
      <c r="T25" s="6"/>
      <c r="U25" s="6"/>
      <c r="V25" s="9">
        <f t="shared" si="2"/>
        <v>0</v>
      </c>
      <c r="W25" s="9">
        <f t="shared" si="3"/>
        <v>1</v>
      </c>
      <c r="X25" s="9">
        <f t="shared" si="4"/>
        <v>0</v>
      </c>
      <c r="AM25" s="191" t="s">
        <v>191</v>
      </c>
      <c r="AN25" s="192">
        <f>$E$25*SUM(F19:F24)*(Utslippsdata!C54+Utslippsdata!C55)+$E$26*Utslippsdata!C56</f>
        <v>0</v>
      </c>
      <c r="AO25" s="193">
        <f>$E$25*SUM(F19:F24)*(Utslippsdata!D54+Utslippsdata!D55)+$E$26*Utslippsdata!D56</f>
        <v>0</v>
      </c>
      <c r="AP25" s="193">
        <f>$E$25*SUM(F19:F24)*(Utslippsdata!E54+Utslippsdata!E55)+$E$26*Utslippsdata!E56</f>
        <v>0</v>
      </c>
      <c r="AQ25" s="193">
        <f>$E$25*SUM(F19:F24)*(Utslippsdata!F54+Utslippsdata!F55)+$E$26*Utslippsdata!F56</f>
        <v>0</v>
      </c>
      <c r="AR25" s="194">
        <f>$E$25*SUM(F19:F24)*(Utslippsdata!G54+Utslippsdata!G55)+$E$26*Utslippsdata!G56</f>
        <v>0</v>
      </c>
      <c r="AS25" s="195">
        <f>$G$25*SUM(H19:H24)*(Utslippsdata!C54+Utslippsdata!C55)+$G$26*Utslippsdata!C56</f>
        <v>0</v>
      </c>
      <c r="AT25" s="193">
        <f>$G$25*SUM(H19:H24)*(Utslippsdata!D54+Utslippsdata!D55)+$G$26*Utslippsdata!D56</f>
        <v>0</v>
      </c>
      <c r="AU25" s="193">
        <f>$G$25*SUM(H19:H24)*(Utslippsdata!E54+Utslippsdata!E55)+$G$26*Utslippsdata!E56</f>
        <v>0</v>
      </c>
      <c r="AV25" s="193">
        <f>$G$25*SUM(H19:H24)*(Utslippsdata!F54+Utslippsdata!F55)+$G$26*Utslippsdata!F56</f>
        <v>0</v>
      </c>
      <c r="AW25" s="196">
        <f>$G$25*SUM(H19:H24)*(Utslippsdata!G54+Utslippsdata!G55)+$G$26*Utslippsdata!G56</f>
        <v>0</v>
      </c>
      <c r="AX25" s="197"/>
      <c r="AY25" s="198"/>
      <c r="AZ25" s="198"/>
      <c r="BA25" s="198"/>
      <c r="BB25" s="199"/>
    </row>
    <row r="26" spans="3:67" ht="15" thickBot="1">
      <c r="C26" s="20" t="s">
        <v>193</v>
      </c>
      <c r="D26" s="20" t="s">
        <v>194</v>
      </c>
      <c r="E26" s="368"/>
      <c r="F26" s="368"/>
      <c r="G26" s="326"/>
      <c r="H26" s="327"/>
      <c r="I26" s="200"/>
      <c r="J26" s="201"/>
      <c r="K26" s="202"/>
      <c r="L26" s="19"/>
      <c r="M26" s="19"/>
      <c r="N26" s="203"/>
      <c r="O26" s="139"/>
      <c r="P26" s="6"/>
      <c r="Q26" s="6"/>
      <c r="T26" s="6"/>
      <c r="U26" s="6"/>
      <c r="V26" s="9">
        <f t="shared" si="2"/>
        <v>0</v>
      </c>
      <c r="W26" s="9">
        <f t="shared" si="3"/>
        <v>1</v>
      </c>
      <c r="X26" s="9">
        <f t="shared" si="4"/>
        <v>0</v>
      </c>
      <c r="AM26" s="204" t="s">
        <v>170</v>
      </c>
      <c r="AN26" s="205">
        <f>SUM(AN19:AN25)</f>
        <v>0</v>
      </c>
      <c r="AO26" s="206">
        <f t="shared" ref="AO26:AR26" si="29">SUM(AO19:AO25)</f>
        <v>0</v>
      </c>
      <c r="AP26" s="206">
        <f t="shared" si="29"/>
        <v>0</v>
      </c>
      <c r="AQ26" s="206">
        <f t="shared" si="29"/>
        <v>0</v>
      </c>
      <c r="AR26" s="207">
        <f t="shared" si="29"/>
        <v>0</v>
      </c>
      <c r="AS26" s="205">
        <f>SUM(AS19:AS25)</f>
        <v>0</v>
      </c>
      <c r="AT26" s="206">
        <f t="shared" ref="AT26" si="30">SUM(AT19:AT25)</f>
        <v>0</v>
      </c>
      <c r="AU26" s="206">
        <f t="shared" ref="AU26" si="31">SUM(AU19:AU25)</f>
        <v>0</v>
      </c>
      <c r="AV26" s="206">
        <f t="shared" ref="AV26" si="32">SUM(AV19:AV25)</f>
        <v>0</v>
      </c>
      <c r="AW26" s="207">
        <f t="shared" ref="AW26" si="33">SUM(AW19:AW25)</f>
        <v>0</v>
      </c>
      <c r="AX26" s="205">
        <f>SUM(AX19:AX25)</f>
        <v>0</v>
      </c>
      <c r="AY26" s="206">
        <f t="shared" ref="AY26" si="34">SUM(AY19:AY25)</f>
        <v>0</v>
      </c>
      <c r="AZ26" s="206">
        <f t="shared" ref="AZ26" si="35">SUM(AZ19:AZ25)</f>
        <v>0</v>
      </c>
      <c r="BA26" s="206">
        <f t="shared" ref="BA26" si="36">SUM(BA19:BA25)</f>
        <v>0</v>
      </c>
      <c r="BB26" s="207">
        <f t="shared" ref="BB26" si="37">SUM(BB19:BB25)</f>
        <v>0</v>
      </c>
    </row>
    <row r="27" spans="3:67">
      <c r="C27" s="178" t="s">
        <v>195</v>
      </c>
      <c r="D27" s="208"/>
      <c r="E27" s="324"/>
      <c r="F27" s="325"/>
      <c r="G27" s="326">
        <v>1939</v>
      </c>
      <c r="H27" s="327"/>
      <c r="I27" s="326"/>
      <c r="J27" s="327"/>
      <c r="K27" s="209"/>
      <c r="L27" s="210"/>
      <c r="M27" s="210"/>
      <c r="N27" s="211"/>
      <c r="O27" s="139"/>
      <c r="V27" s="9">
        <f t="shared" si="2"/>
        <v>0</v>
      </c>
      <c r="W27" s="9">
        <f t="shared" si="3"/>
        <v>1</v>
      </c>
      <c r="X27" s="9">
        <f t="shared" si="4"/>
        <v>0</v>
      </c>
    </row>
    <row r="28" spans="3:67">
      <c r="C28" s="19"/>
      <c r="D28" s="19"/>
      <c r="E28" s="19"/>
      <c r="F28" s="19"/>
      <c r="G28" s="19"/>
      <c r="H28" s="19"/>
      <c r="I28" s="19"/>
      <c r="J28" s="19"/>
      <c r="K28" s="19"/>
      <c r="L28" s="19"/>
      <c r="M28" s="19"/>
      <c r="N28" s="19"/>
      <c r="O28" s="19"/>
      <c r="AM28" s="9" t="s">
        <v>196</v>
      </c>
      <c r="AN28" s="9"/>
      <c r="AO28" s="9"/>
      <c r="AP28" s="9"/>
      <c r="AQ28" s="9"/>
      <c r="AR28" s="9"/>
      <c r="AS28" s="9"/>
      <c r="AT28" s="9"/>
      <c r="AU28" s="9"/>
      <c r="AV28" s="9"/>
      <c r="AW28" s="9"/>
      <c r="AX28" s="9">
        <f ca="1">YEAR(TODAY())</f>
        <v>2025</v>
      </c>
      <c r="AY28" s="10">
        <f>DATE('Generelt om prosjektet'!C26,1,1)</f>
        <v>46023</v>
      </c>
      <c r="AZ28" s="9">
        <f>YEAR(AY28)</f>
        <v>2026</v>
      </c>
      <c r="BA28" s="9"/>
    </row>
    <row r="29" spans="3:67">
      <c r="C29" s="51" t="s">
        <v>197</v>
      </c>
      <c r="D29" s="51"/>
      <c r="E29" s="51" t="s">
        <v>198</v>
      </c>
      <c r="F29" s="51" t="s">
        <v>172</v>
      </c>
      <c r="G29" s="212" t="s">
        <v>93</v>
      </c>
      <c r="H29" s="213"/>
      <c r="I29" s="213"/>
      <c r="J29" s="169"/>
      <c r="K29" s="19"/>
      <c r="L29" s="19"/>
      <c r="M29" s="19"/>
      <c r="N29" s="19"/>
      <c r="O29" s="19"/>
      <c r="U29" s="2" t="s">
        <v>199</v>
      </c>
      <c r="V29" s="9">
        <f>SUM(E19:F22)</f>
        <v>0</v>
      </c>
      <c r="W29" s="9">
        <f>SUM(G19:H22)</f>
        <v>0</v>
      </c>
      <c r="X29" s="9">
        <f>SUM(I19:J22)</f>
        <v>0</v>
      </c>
      <c r="AM29" s="9" t="s">
        <v>200</v>
      </c>
      <c r="AN29" s="9"/>
      <c r="AO29" s="9"/>
      <c r="AP29" s="9"/>
      <c r="AQ29" s="9"/>
      <c r="AR29" s="9"/>
      <c r="AS29" s="9"/>
      <c r="AT29" s="9"/>
      <c r="AU29" s="9"/>
      <c r="AV29" s="9"/>
      <c r="AW29" s="9"/>
      <c r="AX29" s="9">
        <f ca="1">IF(AZ28&gt;AX28,AZ28,AX28)</f>
        <v>2026</v>
      </c>
      <c r="AY29" s="9"/>
      <c r="AZ29" s="9"/>
      <c r="BA29" s="9"/>
    </row>
    <row r="30" spans="3:67" ht="25.5">
      <c r="C30" s="153" t="s">
        <v>201</v>
      </c>
      <c r="D30" s="214" t="s">
        <v>202</v>
      </c>
      <c r="E30" s="142">
        <v>1.95</v>
      </c>
      <c r="F30" s="153" t="s">
        <v>203</v>
      </c>
      <c r="G30" s="321"/>
      <c r="H30" s="322"/>
      <c r="I30" s="322"/>
      <c r="J30" s="323"/>
      <c r="U30" s="2" t="s">
        <v>204</v>
      </c>
      <c r="V30" s="9">
        <f>SUM(E23:H24)</f>
        <v>0</v>
      </c>
      <c r="W30" s="9"/>
      <c r="X30" s="9"/>
      <c r="AM30" s="9" t="s">
        <v>205</v>
      </c>
      <c r="AN30" s="9"/>
      <c r="AO30" s="9"/>
      <c r="AP30" s="9"/>
      <c r="AQ30" s="9"/>
      <c r="AR30" s="9"/>
      <c r="AS30" s="9"/>
      <c r="AT30" s="9"/>
      <c r="AU30" s="9"/>
      <c r="AV30" s="9"/>
      <c r="AW30" s="9"/>
      <c r="AX30" s="10">
        <f>DATE(I27,1,1)</f>
        <v>1</v>
      </c>
      <c r="AY30" s="9"/>
      <c r="AZ30" s="9">
        <f>IF(I27="",0,YEAR(AX30))</f>
        <v>0</v>
      </c>
      <c r="BA30" s="9"/>
    </row>
    <row r="31" spans="3:67">
      <c r="C31" s="19"/>
      <c r="D31" s="19"/>
      <c r="E31" s="19"/>
      <c r="F31" s="19"/>
      <c r="G31" s="328"/>
      <c r="H31" s="328"/>
      <c r="I31" s="328"/>
      <c r="J31" s="328"/>
      <c r="AM31" s="9" t="s">
        <v>206</v>
      </c>
      <c r="AN31" s="9"/>
      <c r="AO31" s="9"/>
      <c r="AP31" s="9"/>
      <c r="AQ31" s="9"/>
      <c r="AR31" s="9"/>
      <c r="AS31" s="9"/>
      <c r="AT31" s="9"/>
      <c r="AU31" s="9"/>
      <c r="AV31" s="9"/>
      <c r="AW31" s="9"/>
      <c r="AX31" s="9">
        <f ca="1">AX29-AZ30</f>
        <v>2026</v>
      </c>
      <c r="AY31" s="9" t="s">
        <v>207</v>
      </c>
      <c r="AZ31" s="9">
        <f>'Generelt om prosjektet'!C24</f>
        <v>50</v>
      </c>
      <c r="BA31" s="9" t="s">
        <v>207</v>
      </c>
    </row>
    <row r="32" spans="3:67">
      <c r="C32" s="19"/>
      <c r="D32" s="19"/>
      <c r="E32" s="19"/>
      <c r="F32" s="19"/>
      <c r="G32" s="328"/>
      <c r="H32" s="328"/>
      <c r="I32" s="328"/>
      <c r="J32" s="328"/>
      <c r="V32" s="2">
        <f>V30+W29+W30</f>
        <v>0</v>
      </c>
      <c r="AM32" s="9" t="s">
        <v>208</v>
      </c>
      <c r="AN32" s="9"/>
      <c r="AO32" s="9"/>
      <c r="AP32" s="9"/>
      <c r="AQ32" s="9"/>
      <c r="AR32" s="9"/>
      <c r="AS32" s="9"/>
      <c r="AT32" s="9"/>
      <c r="AU32" s="9"/>
      <c r="AV32" s="9"/>
      <c r="AW32" s="9"/>
      <c r="AX32" s="9">
        <f ca="1">'Generelt om prosjektet'!C24-AX31</f>
        <v>-1976</v>
      </c>
      <c r="AY32" s="9" t="s">
        <v>207</v>
      </c>
      <c r="AZ32" s="9"/>
      <c r="BA32" s="9"/>
    </row>
    <row r="33" spans="3:53" ht="15" thickBot="1">
      <c r="C33" s="215" t="s">
        <v>209</v>
      </c>
      <c r="D33" s="51" t="s">
        <v>4</v>
      </c>
      <c r="E33" s="51" t="s">
        <v>210</v>
      </c>
      <c r="F33" s="51" t="s">
        <v>172</v>
      </c>
      <c r="G33" s="212" t="s">
        <v>93</v>
      </c>
      <c r="H33" s="213"/>
      <c r="I33" s="213"/>
      <c r="J33" s="169"/>
      <c r="AE33" s="158" t="s">
        <v>211</v>
      </c>
      <c r="AF33" s="159"/>
      <c r="AG33" s="160"/>
      <c r="AM33" s="9" t="s">
        <v>212</v>
      </c>
      <c r="AX33" s="216">
        <f ca="1">IF($AX$31&lt;$AZ$31,AX26/$AZ$31*$AX$32,0)</f>
        <v>0</v>
      </c>
      <c r="AY33" s="216">
        <f ca="1">IF($AX$31&lt;$AZ$31,AY26/$AZ$31*$AX$32,0)</f>
        <v>0</v>
      </c>
      <c r="AZ33" s="216">
        <f ca="1">IF($AX$31&lt;$AZ$31,AZ26/$AZ$31*$AX$32,0)</f>
        <v>0</v>
      </c>
      <c r="BA33" s="216">
        <f ca="1">IF($AX$31&lt;$AZ$31,BA26/$AZ$31*$AX$32,0)</f>
        <v>0</v>
      </c>
    </row>
    <row r="34" spans="3:53">
      <c r="C34" s="20" t="s">
        <v>213</v>
      </c>
      <c r="D34" s="20" t="s">
        <v>214</v>
      </c>
      <c r="E34" s="140"/>
      <c r="F34" s="20" t="s">
        <v>215</v>
      </c>
      <c r="G34" s="315"/>
      <c r="H34" s="315"/>
      <c r="I34" s="315"/>
      <c r="J34" s="315"/>
      <c r="AE34" s="9"/>
      <c r="AF34" s="9"/>
      <c r="AG34" s="9"/>
      <c r="AI34" s="9" t="s">
        <v>216</v>
      </c>
      <c r="AJ34" s="9">
        <f ca="1">SUMIF($L$19:$M$24,AI34,$M$19:$M$24)</f>
        <v>0</v>
      </c>
      <c r="AK34" s="2" t="s">
        <v>217</v>
      </c>
    </row>
    <row r="35" spans="3:53">
      <c r="C35" s="20" t="s">
        <v>218</v>
      </c>
      <c r="D35" s="20" t="s">
        <v>219</v>
      </c>
      <c r="E35" s="140"/>
      <c r="F35" s="20" t="s">
        <v>215</v>
      </c>
      <c r="G35" s="315"/>
      <c r="H35" s="315"/>
      <c r="I35" s="315"/>
      <c r="J35" s="315"/>
      <c r="AE35" s="9" t="s">
        <v>196</v>
      </c>
      <c r="AF35" s="9">
        <f>'Generelt om prosjektet'!C24</f>
        <v>50</v>
      </c>
      <c r="AG35" s="9"/>
      <c r="AI35" s="9" t="s">
        <v>220</v>
      </c>
      <c r="AJ35" s="9">
        <f t="shared" ref="AJ35:AJ43" ca="1" si="38">SUMIF($L$19:$M$24,AI35,$M$19:$M$24)</f>
        <v>0</v>
      </c>
      <c r="AM35" s="158" t="s">
        <v>221</v>
      </c>
      <c r="AN35" s="159"/>
      <c r="AO35" s="159"/>
      <c r="AP35" s="159"/>
      <c r="AQ35" s="159"/>
      <c r="AR35" s="159"/>
      <c r="AS35" s="159"/>
      <c r="AT35" s="160"/>
    </row>
    <row r="36" spans="3:53">
      <c r="C36" s="20" t="s">
        <v>222</v>
      </c>
      <c r="D36" s="144"/>
      <c r="E36" s="143"/>
      <c r="F36" s="20" t="s">
        <v>215</v>
      </c>
      <c r="G36" s="315"/>
      <c r="H36" s="315"/>
      <c r="I36" s="315"/>
      <c r="J36" s="315"/>
      <c r="AE36" s="9" t="str">
        <f>C34</f>
        <v>Beregnet levert strøm</v>
      </c>
      <c r="AF36" s="66">
        <f>E34*Utslippsdata!C76*$AF$35/1000</f>
        <v>0</v>
      </c>
      <c r="AG36" s="9" t="s">
        <v>223</v>
      </c>
      <c r="AI36" s="9" t="s">
        <v>224</v>
      </c>
      <c r="AJ36" s="9">
        <f t="shared" ca="1" si="38"/>
        <v>0</v>
      </c>
      <c r="AK36" s="2" t="s">
        <v>225</v>
      </c>
      <c r="AM36" s="2">
        <f>'Generelt om prosjektet'!C24</f>
        <v>50</v>
      </c>
      <c r="AN36" s="2" t="s">
        <v>207</v>
      </c>
      <c r="AO36" s="406" t="s">
        <v>226</v>
      </c>
      <c r="AP36" s="406"/>
      <c r="AQ36" s="406"/>
      <c r="AR36" s="406"/>
      <c r="AS36" s="406"/>
      <c r="AT36" s="406"/>
    </row>
    <row r="37" spans="3:53" ht="15">
      <c r="C37" s="20" t="s">
        <v>227</v>
      </c>
      <c r="D37" s="20" t="s">
        <v>228</v>
      </c>
      <c r="E37" s="130"/>
      <c r="F37" s="20" t="s">
        <v>229</v>
      </c>
      <c r="G37" s="315"/>
      <c r="H37" s="315"/>
      <c r="I37" s="315"/>
      <c r="J37" s="315"/>
      <c r="AE37" s="9" t="str">
        <f>C35</f>
        <v>Beregnet levert fjernvarme</v>
      </c>
      <c r="AF37" s="66">
        <f>E35*Utslippsdata!C80*$AF$35/1000</f>
        <v>0</v>
      </c>
      <c r="AG37" s="9" t="s">
        <v>223</v>
      </c>
      <c r="AI37" s="9" t="s">
        <v>230</v>
      </c>
      <c r="AJ37" s="9">
        <f t="shared" ca="1" si="38"/>
        <v>0</v>
      </c>
      <c r="AM37" s="24"/>
      <c r="AN37" s="24" t="s">
        <v>231</v>
      </c>
      <c r="AO37" s="24" t="s">
        <v>232</v>
      </c>
      <c r="AP37" s="24" t="s">
        <v>233</v>
      </c>
      <c r="AQ37" s="24" t="s">
        <v>234</v>
      </c>
      <c r="AR37" s="24" t="s">
        <v>235</v>
      </c>
      <c r="AS37" s="24" t="s">
        <v>236</v>
      </c>
      <c r="AT37" s="24" t="s">
        <v>237</v>
      </c>
      <c r="AW37" s="74"/>
    </row>
    <row r="38" spans="3:53" ht="15" thickBot="1">
      <c r="C38" s="20" t="s">
        <v>238</v>
      </c>
      <c r="D38" s="20" t="s">
        <v>238</v>
      </c>
      <c r="E38" s="140"/>
      <c r="F38" s="20" t="s">
        <v>239</v>
      </c>
      <c r="G38" s="315"/>
      <c r="H38" s="315"/>
      <c r="I38" s="315"/>
      <c r="J38" s="315"/>
      <c r="V38" s="158" t="s">
        <v>240</v>
      </c>
      <c r="W38" s="159"/>
      <c r="X38" s="159"/>
      <c r="Y38" s="160"/>
      <c r="AE38" s="9" t="str">
        <f>C36</f>
        <v>Annen kilde, spesifiser</v>
      </c>
      <c r="AF38" s="66">
        <f>E36*E37*$AF$35/1000</f>
        <v>0</v>
      </c>
      <c r="AG38" s="9" t="s">
        <v>223</v>
      </c>
      <c r="AI38" s="9" t="s">
        <v>241</v>
      </c>
      <c r="AJ38" s="9">
        <f t="shared" ca="1" si="38"/>
        <v>0</v>
      </c>
      <c r="AK38" s="2" t="s">
        <v>242</v>
      </c>
      <c r="AM38" s="9" t="s">
        <v>243</v>
      </c>
      <c r="AN38" s="9">
        <f t="shared" ref="AN38:AN48" si="39">SUMIF($D$19:$D$24,AM38,$E$19:$E$24)+SUMIF($D$19:$D$24,AM38,$G$19:$G$24)</f>
        <v>0</v>
      </c>
      <c r="AO38" s="14">
        <f>IFERROR(Utslippsdata!C114+800/AN38,0)*AN38</f>
        <v>0</v>
      </c>
      <c r="AP38" s="14">
        <f>IFERROR(120+1600/AN38,0)*AN38</f>
        <v>0</v>
      </c>
      <c r="AQ38" s="14">
        <f>IFERROR(145+2500/AN38,0)*AN38</f>
        <v>0</v>
      </c>
      <c r="AR38" s="14">
        <f>IFERROR(175+4100/AN38,0)*AN38</f>
        <v>0</v>
      </c>
      <c r="AS38" s="14">
        <f>IFERROR(205+5800/AN38,0)*AN38</f>
        <v>0</v>
      </c>
      <c r="AT38" s="14">
        <f>IFERROR(250+8000/AN38,0)*AN38</f>
        <v>0</v>
      </c>
    </row>
    <row r="39" spans="3:53">
      <c r="C39" s="20" t="s">
        <v>244</v>
      </c>
      <c r="D39" s="20" t="s">
        <v>245</v>
      </c>
      <c r="E39" s="140"/>
      <c r="F39" s="20" t="s">
        <v>215</v>
      </c>
      <c r="G39" s="315"/>
      <c r="H39" s="315"/>
      <c r="I39" s="315"/>
      <c r="J39" s="315"/>
      <c r="V39" s="9" t="s">
        <v>246</v>
      </c>
      <c r="W39" s="9"/>
      <c r="X39" s="9"/>
      <c r="Y39" s="9" t="s">
        <v>247</v>
      </c>
      <c r="Z39" s="12"/>
      <c r="AA39" s="218" t="s">
        <v>100</v>
      </c>
      <c r="AB39" s="6"/>
      <c r="AE39" s="9" t="str">
        <f>C39</f>
        <v>Levert strøm fra solceller</v>
      </c>
      <c r="AF39" s="66">
        <f>E39*Utslippsdata!C76*$AF$35/1000</f>
        <v>0</v>
      </c>
      <c r="AG39" s="9" t="s">
        <v>223</v>
      </c>
      <c r="AI39" s="9" t="s">
        <v>248</v>
      </c>
      <c r="AJ39" s="9">
        <f ca="1">SUMIF($L$19:$M$24,AI39,$M$19:$M$24)</f>
        <v>0</v>
      </c>
      <c r="AK39" s="2" t="s">
        <v>249</v>
      </c>
      <c r="AM39" s="9" t="s">
        <v>185</v>
      </c>
      <c r="AN39" s="9">
        <f t="shared" si="39"/>
        <v>0</v>
      </c>
      <c r="AO39" s="14">
        <f>IFERROR(85+600/AN39,0)*AN39</f>
        <v>0</v>
      </c>
      <c r="AP39" s="14">
        <f>IFERROR(95+1000/AN39,0)*AN39</f>
        <v>0</v>
      </c>
      <c r="AQ39" s="14">
        <f>IFERROR(110+1500/AN39,0)*AN39</f>
        <v>0</v>
      </c>
      <c r="AR39" s="14">
        <f>IFERROR(135+2200/AN39,0)*AN39</f>
        <v>0</v>
      </c>
      <c r="AS39" s="14">
        <f>IFERROR(160+3000/AN39,0)*AN39</f>
        <v>0</v>
      </c>
      <c r="AT39" s="14">
        <f>IFERROR(200+4000/AN39,0)*AN39</f>
        <v>0</v>
      </c>
    </row>
    <row r="40" spans="3:53">
      <c r="C40" s="19"/>
      <c r="D40" s="19"/>
      <c r="E40" s="19"/>
      <c r="F40" s="19"/>
      <c r="G40" s="19"/>
      <c r="H40" s="19"/>
      <c r="I40" s="19"/>
      <c r="J40" s="19"/>
      <c r="V40" s="9">
        <f>IF(OR(D19=AK135,D20=AK135,D21=AK135,D22=AK135),1,0)</f>
        <v>0</v>
      </c>
      <c r="W40" s="9"/>
      <c r="X40" s="9">
        <v>1.95</v>
      </c>
      <c r="Y40" s="9">
        <f>IF(E30="",X40,E30)</f>
        <v>1.95</v>
      </c>
      <c r="AA40" s="185" t="s">
        <v>250</v>
      </c>
      <c r="AE40" s="9" t="s">
        <v>251</v>
      </c>
      <c r="AF40" s="66">
        <f>E38*(Utslippsdata!B107+Utslippsdata!C107+Utslippsdata!D107+Utslippsdata!E107+Utslippsdata!F107)/1000</f>
        <v>0</v>
      </c>
      <c r="AG40" s="9" t="s">
        <v>223</v>
      </c>
      <c r="AI40" s="9" t="s">
        <v>252</v>
      </c>
      <c r="AJ40" s="9">
        <f t="shared" ca="1" si="38"/>
        <v>0</v>
      </c>
      <c r="AK40" s="2" t="s">
        <v>253</v>
      </c>
      <c r="AM40" s="9" t="s">
        <v>254</v>
      </c>
      <c r="AN40" s="9">
        <f t="shared" si="39"/>
        <v>0</v>
      </c>
      <c r="AO40" s="14">
        <f>$AN40*Utslippsdata!C118</f>
        <v>0</v>
      </c>
      <c r="AP40" s="14">
        <f>$AN40*Utslippsdata!D118</f>
        <v>0</v>
      </c>
      <c r="AQ40" s="14">
        <f>$AN40*Utslippsdata!E118</f>
        <v>0</v>
      </c>
      <c r="AR40" s="14">
        <f>$AN40*Utslippsdata!F118</f>
        <v>0</v>
      </c>
      <c r="AS40" s="14">
        <f>$AN40*Utslippsdata!G118</f>
        <v>0</v>
      </c>
      <c r="AT40" s="14">
        <f>$AN40*Utslippsdata!H118</f>
        <v>0</v>
      </c>
    </row>
    <row r="41" spans="3:53">
      <c r="C41" s="20" t="s">
        <v>255</v>
      </c>
      <c r="D41" s="130" t="s">
        <v>256</v>
      </c>
      <c r="E41" s="19"/>
      <c r="F41" s="19"/>
      <c r="G41" s="19"/>
      <c r="H41" s="19"/>
      <c r="I41" s="19"/>
      <c r="J41" s="19"/>
      <c r="AA41" s="185" t="s">
        <v>256</v>
      </c>
      <c r="AI41" s="9" t="s">
        <v>257</v>
      </c>
      <c r="AJ41" s="9">
        <f t="shared" ca="1" si="38"/>
        <v>0</v>
      </c>
      <c r="AK41" s="2" t="s">
        <v>258</v>
      </c>
      <c r="AM41" s="9" t="s">
        <v>183</v>
      </c>
      <c r="AN41" s="9">
        <f t="shared" si="39"/>
        <v>0</v>
      </c>
      <c r="AO41" s="14">
        <f>$AN41*Utslippsdata!C119</f>
        <v>0</v>
      </c>
      <c r="AP41" s="14">
        <f>$AN41*Utslippsdata!D119</f>
        <v>0</v>
      </c>
      <c r="AQ41" s="14">
        <f>$AN41*Utslippsdata!E119</f>
        <v>0</v>
      </c>
      <c r="AR41" s="14">
        <f>$AN41*Utslippsdata!F119</f>
        <v>0</v>
      </c>
      <c r="AS41" s="14">
        <f>$AN41*Utslippsdata!G119</f>
        <v>0</v>
      </c>
      <c r="AT41" s="14">
        <f>$AN41*Utslippsdata!H119</f>
        <v>0</v>
      </c>
    </row>
    <row r="42" spans="3:53">
      <c r="C42" s="19"/>
      <c r="D42" s="19"/>
      <c r="E42" s="19"/>
      <c r="F42" s="19"/>
      <c r="G42" s="19"/>
      <c r="H42" s="19"/>
      <c r="I42" s="19"/>
      <c r="J42" s="19"/>
      <c r="AA42" s="185" t="s">
        <v>101</v>
      </c>
      <c r="AE42" s="219" t="s">
        <v>259</v>
      </c>
      <c r="AF42" s="219"/>
      <c r="AI42" s="9" t="s">
        <v>260</v>
      </c>
      <c r="AJ42" s="9">
        <f ca="1">SUMIF($L$19:$M$24,AI42,$M$19:$M$24)</f>
        <v>0</v>
      </c>
      <c r="AK42" s="2" t="s">
        <v>261</v>
      </c>
      <c r="AM42" s="9" t="s">
        <v>262</v>
      </c>
      <c r="AN42" s="9">
        <f t="shared" si="39"/>
        <v>0</v>
      </c>
      <c r="AO42" s="14">
        <f>$AN42*Utslippsdata!C120</f>
        <v>0</v>
      </c>
      <c r="AP42" s="14">
        <f>$AN42*Utslippsdata!D120</f>
        <v>0</v>
      </c>
      <c r="AQ42" s="14">
        <f>$AN42*Utslippsdata!E120</f>
        <v>0</v>
      </c>
      <c r="AR42" s="14">
        <f>$AN42*Utslippsdata!F120</f>
        <v>0</v>
      </c>
      <c r="AS42" s="14">
        <f>$AN42*Utslippsdata!G120</f>
        <v>0</v>
      </c>
      <c r="AT42" s="14">
        <f>$AN42*Utslippsdata!H120</f>
        <v>0</v>
      </c>
    </row>
    <row r="43" spans="3:53">
      <c r="C43" s="51" t="s">
        <v>263</v>
      </c>
      <c r="D43" s="51"/>
      <c r="E43" s="51" t="s">
        <v>264</v>
      </c>
      <c r="F43" s="212" t="s">
        <v>93</v>
      </c>
      <c r="G43" s="213"/>
      <c r="H43" s="213"/>
      <c r="I43" s="213"/>
      <c r="J43" s="169"/>
      <c r="AA43" s="220"/>
      <c r="AE43" s="219" t="s">
        <v>265</v>
      </c>
      <c r="AF43" s="219"/>
      <c r="AI43" s="9" t="s">
        <v>266</v>
      </c>
      <c r="AJ43" s="9">
        <f t="shared" ca="1" si="38"/>
        <v>0</v>
      </c>
      <c r="AM43" s="9" t="s">
        <v>267</v>
      </c>
      <c r="AN43" s="9">
        <f t="shared" si="39"/>
        <v>0</v>
      </c>
      <c r="AO43" s="14">
        <f>$AN43*Utslippsdata!C121</f>
        <v>0</v>
      </c>
      <c r="AP43" s="14">
        <f>$AN43*Utslippsdata!D121</f>
        <v>0</v>
      </c>
      <c r="AQ43" s="14">
        <f>$AN43*Utslippsdata!E121</f>
        <v>0</v>
      </c>
      <c r="AR43" s="14">
        <f>$AN43*Utslippsdata!F121</f>
        <v>0</v>
      </c>
      <c r="AS43" s="14">
        <f>$AN43*Utslippsdata!G121</f>
        <v>0</v>
      </c>
      <c r="AT43" s="14">
        <f>$AN43*Utslippsdata!H121</f>
        <v>0</v>
      </c>
    </row>
    <row r="44" spans="3:53" ht="14.25" customHeight="1">
      <c r="C44" s="178" t="s">
        <v>268</v>
      </c>
      <c r="D44" s="208"/>
      <c r="E44" s="130" t="s">
        <v>269</v>
      </c>
      <c r="F44" s="315"/>
      <c r="G44" s="315"/>
      <c r="H44" s="315"/>
      <c r="I44" s="315"/>
      <c r="J44" s="315"/>
      <c r="V44" s="219" t="s">
        <v>270</v>
      </c>
      <c r="AA44" s="220"/>
      <c r="AE44" s="66">
        <f>D54*Utslippsdata!C146</f>
        <v>0</v>
      </c>
      <c r="AF44" s="9" t="s">
        <v>271</v>
      </c>
      <c r="AM44" s="9" t="s">
        <v>272</v>
      </c>
      <c r="AN44" s="9">
        <f t="shared" si="39"/>
        <v>0</v>
      </c>
      <c r="AO44" s="14">
        <f>$AN44*Utslippsdata!C122</f>
        <v>0</v>
      </c>
      <c r="AP44" s="14">
        <f>$AN44*Utslippsdata!D122</f>
        <v>0</v>
      </c>
      <c r="AQ44" s="14">
        <f>$AN44*Utslippsdata!E122</f>
        <v>0</v>
      </c>
      <c r="AR44" s="14">
        <f>$AN44*Utslippsdata!F122</f>
        <v>0</v>
      </c>
      <c r="AS44" s="14">
        <f>$AN44*Utslippsdata!G122</f>
        <v>0</v>
      </c>
      <c r="AT44" s="14">
        <f>$AN44*Utslippsdata!H122</f>
        <v>0</v>
      </c>
    </row>
    <row r="45" spans="3:53">
      <c r="C45" s="221" t="str">
        <f>IF(E44=Ja,"","*Hvis nei inkluderes utslipp i beregningene basert på oppgitt areal og standard utslippstall for solceller, inverter, kabler, festesystem og ballast")</f>
        <v>*Hvis nei inkluderes utslipp i beregningene basert på oppgitt areal og standard utslippstall for solceller, inverter, kabler, festesystem og ballast</v>
      </c>
      <c r="D45" s="19"/>
      <c r="E45" s="19"/>
      <c r="F45" s="19"/>
      <c r="G45" s="19"/>
      <c r="H45" s="19"/>
      <c r="I45" s="19"/>
      <c r="J45" s="19"/>
      <c r="V45" s="9" t="s">
        <v>273</v>
      </c>
      <c r="AA45" s="185" t="s">
        <v>274</v>
      </c>
      <c r="AE45" s="66">
        <f>D55*Utslippsdata!C147</f>
        <v>0</v>
      </c>
      <c r="AF45" s="9" t="s">
        <v>271</v>
      </c>
      <c r="AI45" s="2" t="s">
        <v>275</v>
      </c>
      <c r="AJ45" s="2">
        <v>1.95</v>
      </c>
      <c r="AM45" s="9" t="s">
        <v>276</v>
      </c>
      <c r="AN45" s="9">
        <f t="shared" si="39"/>
        <v>0</v>
      </c>
      <c r="AO45" s="14">
        <f>$AN45*Utslippsdata!C123</f>
        <v>0</v>
      </c>
      <c r="AP45" s="14">
        <f>$AN45*Utslippsdata!D123</f>
        <v>0</v>
      </c>
      <c r="AQ45" s="14">
        <f>$AN45*Utslippsdata!E123</f>
        <v>0</v>
      </c>
      <c r="AR45" s="14">
        <f>$AN45*Utslippsdata!F123</f>
        <v>0</v>
      </c>
      <c r="AS45" s="14">
        <f>$AN45*Utslippsdata!G123</f>
        <v>0</v>
      </c>
      <c r="AT45" s="14">
        <f>$AN45*Utslippsdata!H123</f>
        <v>0</v>
      </c>
    </row>
    <row r="46" spans="3:53" ht="15" customHeight="1">
      <c r="C46" s="221" t="str">
        <f>IF(E44=Nei,"","*Hvis ja skal materialutslipp fra solceller, inverter, kabler, festesystem og ballast inkluderes i A1-A3, A4, A5, B1-B5 (antatt 30 år levetid) og C1-C4 inkluderes i resultattabell under")</f>
        <v/>
      </c>
      <c r="D46" s="19"/>
      <c r="E46" s="19"/>
      <c r="F46" s="19"/>
      <c r="G46" s="19"/>
      <c r="H46" s="19"/>
      <c r="I46" s="19"/>
      <c r="J46" s="19"/>
      <c r="V46" s="9">
        <f>IF(E38&gt;0,1,0)</f>
        <v>0</v>
      </c>
      <c r="AA46" s="185" t="s">
        <v>277</v>
      </c>
      <c r="AE46" s="66">
        <f>D56*Utslippsdata!C148</f>
        <v>0</v>
      </c>
      <c r="AF46" s="9" t="s">
        <v>271</v>
      </c>
      <c r="AI46" s="2" t="s">
        <v>278</v>
      </c>
      <c r="AJ46" s="2">
        <f>IF((OR(E30=0,E30="")),AJ45,E30)</f>
        <v>1.95</v>
      </c>
      <c r="AM46" s="9" t="s">
        <v>279</v>
      </c>
      <c r="AN46" s="9">
        <f t="shared" si="39"/>
        <v>0</v>
      </c>
      <c r="AO46" s="14">
        <f>$AN46*Utslippsdata!C124</f>
        <v>0</v>
      </c>
      <c r="AP46" s="14">
        <f>$AN46*Utslippsdata!D124</f>
        <v>0</v>
      </c>
      <c r="AQ46" s="14">
        <f>$AN46*Utslippsdata!E124</f>
        <v>0</v>
      </c>
      <c r="AR46" s="14">
        <f>$AN46*Utslippsdata!F124</f>
        <v>0</v>
      </c>
      <c r="AS46" s="14">
        <f>$AN46*Utslippsdata!G124</f>
        <v>0</v>
      </c>
      <c r="AT46" s="14">
        <f>$AN46*Utslippsdata!H124</f>
        <v>0</v>
      </c>
    </row>
    <row r="47" spans="3:53" ht="15" customHeight="1" thickBot="1">
      <c r="C47" s="19"/>
      <c r="D47" s="19"/>
      <c r="E47" s="19"/>
      <c r="F47" s="19"/>
      <c r="G47" s="19"/>
      <c r="H47" s="19"/>
      <c r="I47" s="19"/>
      <c r="J47" s="19"/>
      <c r="AA47" s="222" t="s">
        <v>269</v>
      </c>
      <c r="AE47" s="66">
        <f>D57*Utslippsdata!C149</f>
        <v>0</v>
      </c>
      <c r="AF47" s="9" t="s">
        <v>271</v>
      </c>
      <c r="AI47"/>
      <c r="AM47" s="9" t="s">
        <v>280</v>
      </c>
      <c r="AN47" s="9">
        <f t="shared" si="39"/>
        <v>0</v>
      </c>
      <c r="AO47" s="14">
        <f>$AN47*Utslippsdata!C125</f>
        <v>0</v>
      </c>
      <c r="AP47" s="14">
        <f>$AN47*Utslippsdata!D125</f>
        <v>0</v>
      </c>
      <c r="AQ47" s="14">
        <f>$AN47*Utslippsdata!E125</f>
        <v>0</v>
      </c>
      <c r="AR47" s="14">
        <f>$AN47*Utslippsdata!F125</f>
        <v>0</v>
      </c>
      <c r="AS47" s="14">
        <f>$AN47*Utslippsdata!G125</f>
        <v>0</v>
      </c>
      <c r="AT47" s="14">
        <f>$AN47*Utslippsdata!H125</f>
        <v>0</v>
      </c>
    </row>
    <row r="48" spans="3:53" ht="15" customHeight="1">
      <c r="C48" s="215" t="s">
        <v>281</v>
      </c>
      <c r="D48" s="352" t="s">
        <v>282</v>
      </c>
      <c r="E48" s="353" t="s">
        <v>283</v>
      </c>
      <c r="F48" s="353" t="s">
        <v>172</v>
      </c>
      <c r="G48" s="353" t="s">
        <v>284</v>
      </c>
      <c r="H48" s="353" t="s">
        <v>93</v>
      </c>
      <c r="I48" s="353"/>
      <c r="J48" s="353"/>
      <c r="AE48" s="223">
        <f>SUM(AE44:AE47)/1000</f>
        <v>0</v>
      </c>
      <c r="AF48" s="24" t="s">
        <v>223</v>
      </c>
      <c r="AI48" s="9" t="s">
        <v>285</v>
      </c>
      <c r="AJ48" s="9">
        <f ca="1">ROUND(AJ35*AJ46+AJ39,0)</f>
        <v>0</v>
      </c>
      <c r="AK48" s="2" t="s">
        <v>249</v>
      </c>
      <c r="AM48" s="9" t="s">
        <v>286</v>
      </c>
      <c r="AN48" s="9">
        <f t="shared" si="39"/>
        <v>0</v>
      </c>
      <c r="AO48" s="14">
        <f>$AN48*Utslippsdata!C126</f>
        <v>0</v>
      </c>
      <c r="AP48" s="14">
        <f>$AN48*Utslippsdata!D126</f>
        <v>0</v>
      </c>
      <c r="AQ48" s="14">
        <f>$AN48*Utslippsdata!E126</f>
        <v>0</v>
      </c>
      <c r="AR48" s="14">
        <f>$AN48*Utslippsdata!F126</f>
        <v>0</v>
      </c>
      <c r="AS48" s="14">
        <f>$AN48*Utslippsdata!G126</f>
        <v>0</v>
      </c>
      <c r="AT48" s="14">
        <f>$AN48*Utslippsdata!H126</f>
        <v>0</v>
      </c>
    </row>
    <row r="49" spans="3:46" ht="15">
      <c r="C49" s="51" t="s">
        <v>287</v>
      </c>
      <c r="D49" s="352"/>
      <c r="E49" s="353"/>
      <c r="F49" s="353"/>
      <c r="G49" s="353"/>
      <c r="H49" s="353"/>
      <c r="I49" s="353"/>
      <c r="J49" s="353"/>
      <c r="M49" s="6"/>
      <c r="N49" s="6"/>
      <c r="O49" s="6"/>
      <c r="P49" s="6"/>
      <c r="Q49" s="6"/>
      <c r="R49" s="6"/>
      <c r="S49" s="6"/>
      <c r="T49" s="6"/>
      <c r="U49" s="6"/>
      <c r="AI49"/>
      <c r="AM49" s="81" t="s">
        <v>170</v>
      </c>
      <c r="AN49" s="81"/>
      <c r="AO49" s="224">
        <f>SUM(AO38:AO48)</f>
        <v>0</v>
      </c>
      <c r="AP49" s="224">
        <f t="shared" ref="AP49:AT49" si="40">SUM(AP38:AP48)</f>
        <v>0</v>
      </c>
      <c r="AQ49" s="224">
        <f t="shared" si="40"/>
        <v>0</v>
      </c>
      <c r="AR49" s="224">
        <f t="shared" si="40"/>
        <v>0</v>
      </c>
      <c r="AS49" s="224">
        <f t="shared" si="40"/>
        <v>0</v>
      </c>
      <c r="AT49" s="224">
        <f t="shared" si="40"/>
        <v>0</v>
      </c>
    </row>
    <row r="50" spans="3:46" ht="15">
      <c r="C50" s="20" t="s">
        <v>288</v>
      </c>
      <c r="D50" s="130">
        <v>50</v>
      </c>
      <c r="E50" s="140"/>
      <c r="F50" s="20" t="s">
        <v>289</v>
      </c>
      <c r="G50" s="130" t="s">
        <v>299</v>
      </c>
      <c r="H50" s="315"/>
      <c r="I50" s="315"/>
      <c r="J50" s="315"/>
      <c r="M50" s="6"/>
      <c r="N50" s="6"/>
      <c r="O50" s="6"/>
      <c r="P50" s="6"/>
      <c r="Q50" s="6"/>
      <c r="R50" s="6"/>
      <c r="S50" s="6"/>
      <c r="T50" s="6"/>
      <c r="U50" s="6"/>
      <c r="V50" s="158" t="s">
        <v>291</v>
      </c>
      <c r="W50" s="159"/>
      <c r="X50" s="159"/>
      <c r="Y50" s="159"/>
      <c r="Z50" s="159"/>
      <c r="AA50" s="160"/>
      <c r="AE50" s="219" t="s">
        <v>292</v>
      </c>
      <c r="AF50" s="219"/>
      <c r="AI50" s="9" t="str">
        <f ca="1">AJ34&amp;" "&amp;AK34</f>
        <v xml:space="preserve">0 arbeidsplasser, </v>
      </c>
      <c r="AJ50" s="2" t="str">
        <f ca="1">IF(AJ34=0,"",AI50)</f>
        <v/>
      </c>
      <c r="AM50" s="225" t="s">
        <v>293</v>
      </c>
      <c r="AN50" s="225"/>
      <c r="AO50" s="226">
        <f>AO49*$AM$36*Utslippsdata!$C$76/1000</f>
        <v>0</v>
      </c>
      <c r="AP50" s="226">
        <f>AP49*$AM$36*Utslippsdata!$C$76/1000</f>
        <v>0</v>
      </c>
      <c r="AQ50" s="226">
        <f>AQ49*$AM$36*Utslippsdata!$C$76/1000</f>
        <v>0</v>
      </c>
      <c r="AR50" s="226">
        <f>AR49*$AM$36*Utslippsdata!$C$76/1000</f>
        <v>0</v>
      </c>
      <c r="AS50" s="226">
        <f>AS49*$AM$36*Utslippsdata!$C$76/1000</f>
        <v>0</v>
      </c>
      <c r="AT50" s="226">
        <f>AT49*$AM$36*Utslippsdata!$C$76/1000</f>
        <v>0</v>
      </c>
    </row>
    <row r="51" spans="3:46">
      <c r="C51" s="20" t="s">
        <v>294</v>
      </c>
      <c r="D51" s="130">
        <v>50</v>
      </c>
      <c r="E51" s="140"/>
      <c r="F51" s="20" t="s">
        <v>289</v>
      </c>
      <c r="G51" s="130" t="s">
        <v>299</v>
      </c>
      <c r="H51" s="312"/>
      <c r="I51" s="313"/>
      <c r="J51" s="314"/>
      <c r="N51" s="6"/>
      <c r="V51" s="227">
        <v>1</v>
      </c>
      <c r="W51" s="227">
        <v>2</v>
      </c>
      <c r="X51" s="227">
        <v>3</v>
      </c>
      <c r="Y51" s="227">
        <v>4</v>
      </c>
      <c r="Z51" s="227">
        <v>5</v>
      </c>
      <c r="AE51" s="9">
        <f>D60*(Utslippsdata!C133+Utslippsdata!$C$136)</f>
        <v>0</v>
      </c>
      <c r="AF51" s="9" t="s">
        <v>271</v>
      </c>
      <c r="AI51" s="9" t="str">
        <f ca="1">AJ36&amp;" "&amp;AK36</f>
        <v xml:space="preserve">0 elevplasser, </v>
      </c>
      <c r="AJ51" s="2" t="str">
        <f ca="1">IF(AJ36=0,"",AI51)</f>
        <v/>
      </c>
    </row>
    <row r="52" spans="3:46">
      <c r="C52" s="19"/>
      <c r="D52" s="19"/>
      <c r="E52" s="19"/>
      <c r="F52" s="19"/>
      <c r="G52" s="19"/>
      <c r="H52" s="19"/>
      <c r="I52" s="19"/>
      <c r="J52" s="19"/>
      <c r="N52" s="6"/>
      <c r="V52" s="228" t="s">
        <v>284</v>
      </c>
      <c r="W52" s="228"/>
      <c r="AE52" s="9">
        <f>D61*(Utslippsdata!C134+Utslippsdata!$C$136)</f>
        <v>0</v>
      </c>
      <c r="AF52" s="9" t="s">
        <v>271</v>
      </c>
      <c r="AI52" s="9" t="str">
        <f ca="1">AJ38&amp;" "&amp;AK38</f>
        <v xml:space="preserve">0 beboere på sykehjem, </v>
      </c>
      <c r="AJ52" s="2" t="str">
        <f ca="1">IF(AJ38=0,"",AI52)</f>
        <v/>
      </c>
    </row>
    <row r="53" spans="3:46">
      <c r="C53" s="51" t="s">
        <v>296</v>
      </c>
      <c r="D53" s="51" t="s">
        <v>64</v>
      </c>
      <c r="E53" s="51" t="s">
        <v>172</v>
      </c>
      <c r="F53" s="212" t="s">
        <v>93</v>
      </c>
      <c r="G53" s="213"/>
      <c r="H53" s="213"/>
      <c r="I53" s="213"/>
      <c r="J53" s="169"/>
      <c r="N53" s="6"/>
      <c r="V53" s="9" t="s">
        <v>295</v>
      </c>
      <c r="W53" s="9"/>
      <c r="Z53" s="229">
        <f>Z54</f>
        <v>0.13887096774193547</v>
      </c>
      <c r="AA53" s="9" t="s">
        <v>297</v>
      </c>
      <c r="AE53" s="9">
        <f>D62*(Utslippsdata!C135+Utslippsdata!$C$136)</f>
        <v>0</v>
      </c>
      <c r="AF53" s="9" t="s">
        <v>271</v>
      </c>
      <c r="AI53" s="9" t="str">
        <f ca="1">AJ40&amp;" "&amp;AK40</f>
        <v xml:space="preserve">0 plasser for barn, </v>
      </c>
      <c r="AJ53" s="2" t="str">
        <f ca="1">IF(AJ40=0,"",AI53)</f>
        <v/>
      </c>
    </row>
    <row r="54" spans="3:46">
      <c r="C54" s="20" t="s">
        <v>298</v>
      </c>
      <c r="D54" s="130"/>
      <c r="E54" s="130" t="s">
        <v>239</v>
      </c>
      <c r="F54" s="312"/>
      <c r="G54" s="313"/>
      <c r="H54" s="313"/>
      <c r="I54" s="313"/>
      <c r="J54" s="314"/>
      <c r="N54" s="6"/>
      <c r="V54" s="9" t="s">
        <v>299</v>
      </c>
      <c r="W54" s="9">
        <v>2.87</v>
      </c>
      <c r="X54" s="2" t="s">
        <v>300</v>
      </c>
      <c r="Z54" s="79">
        <f>W59*W54/W58</f>
        <v>0.13887096774193547</v>
      </c>
      <c r="AA54" s="9" t="s">
        <v>297</v>
      </c>
      <c r="AE54" s="9">
        <f>D63*Utslippsdata!C136</f>
        <v>0</v>
      </c>
      <c r="AF54" s="9" t="s">
        <v>271</v>
      </c>
      <c r="AI54" s="9" t="str">
        <f ca="1">AJ41&amp;" "&amp;AK41</f>
        <v xml:space="preserve">0 besøkende pr år, </v>
      </c>
      <c r="AJ54" s="2" t="str">
        <f ca="1">IF(AJ41=0,"",AI54)</f>
        <v/>
      </c>
    </row>
    <row r="55" spans="3:46">
      <c r="C55" s="20" t="s">
        <v>301</v>
      </c>
      <c r="D55" s="130"/>
      <c r="E55" s="130" t="s">
        <v>239</v>
      </c>
      <c r="F55" s="312"/>
      <c r="G55" s="313"/>
      <c r="H55" s="313"/>
      <c r="I55" s="313"/>
      <c r="J55" s="314"/>
      <c r="N55" s="6"/>
      <c r="V55" s="9" t="s">
        <v>290</v>
      </c>
      <c r="W55" s="9"/>
      <c r="Z55" s="79">
        <f>W59*W60*Utslippsdata!C78/W58</f>
        <v>5.0112597937020005E-3</v>
      </c>
      <c r="AA55" s="9" t="s">
        <v>297</v>
      </c>
      <c r="AE55" s="9">
        <f>D64*Utslippsdata!C140</f>
        <v>0</v>
      </c>
      <c r="AF55" s="9" t="s">
        <v>271</v>
      </c>
      <c r="AI55" s="9" t="str">
        <f ca="1">AJ42&amp;" "&amp;AK42</f>
        <v xml:space="preserve">0 hotellsenger, </v>
      </c>
      <c r="AJ55" s="2" t="str">
        <f ca="1">IF(AJ42=0,"",AI55)</f>
        <v/>
      </c>
    </row>
    <row r="56" spans="3:46">
      <c r="C56" s="20" t="s">
        <v>302</v>
      </c>
      <c r="D56" s="130"/>
      <c r="E56" s="130" t="s">
        <v>239</v>
      </c>
      <c r="F56" s="312"/>
      <c r="G56" s="313"/>
      <c r="H56" s="313"/>
      <c r="I56" s="313"/>
      <c r="J56" s="314"/>
      <c r="N56" s="6"/>
      <c r="V56" s="9" t="s">
        <v>303</v>
      </c>
      <c r="W56" s="9">
        <v>1.462518</v>
      </c>
      <c r="X56" s="2" t="s">
        <v>304</v>
      </c>
      <c r="Z56" s="79">
        <f>W61*W63*W56/W58</f>
        <v>7.2654119999999989E-2</v>
      </c>
      <c r="AA56" s="9" t="s">
        <v>297</v>
      </c>
      <c r="AE56" s="9">
        <f>D65*Utslippsdata!C141</f>
        <v>0</v>
      </c>
      <c r="AF56" s="9" t="s">
        <v>271</v>
      </c>
      <c r="AI56" s="230" t="str">
        <f ca="1">AJ48&amp;" "&amp;AK48</f>
        <v xml:space="preserve">0 bosatte, </v>
      </c>
      <c r="AJ56" s="2" t="str">
        <f ca="1">IF(AJ48=0,"",AI56)</f>
        <v/>
      </c>
      <c r="AN56" s="158" t="s">
        <v>305</v>
      </c>
      <c r="AO56" s="159"/>
      <c r="AP56" s="159"/>
      <c r="AQ56" s="159"/>
      <c r="AR56" s="160"/>
    </row>
    <row r="57" spans="3:46">
      <c r="C57" s="20" t="s">
        <v>306</v>
      </c>
      <c r="D57" s="130"/>
      <c r="E57" s="130" t="s">
        <v>239</v>
      </c>
      <c r="F57" s="312"/>
      <c r="G57" s="313"/>
      <c r="H57" s="313"/>
      <c r="I57" s="313"/>
      <c r="J57" s="314"/>
      <c r="N57" s="6"/>
      <c r="AE57" s="9">
        <f>D66*Utslippsdata!C142</f>
        <v>0</v>
      </c>
      <c r="AF57" s="9" t="s">
        <v>271</v>
      </c>
      <c r="AI57" s="81" t="str">
        <f ca="1">AJ50&amp;AJ51&amp;AJ52&amp;AJ53&amp;AJ54&amp;AJ55&amp;AJ56</f>
        <v/>
      </c>
      <c r="AJ57" s="81"/>
    </row>
    <row r="58" spans="3:46" ht="15">
      <c r="C58" s="19"/>
      <c r="D58" s="19"/>
      <c r="E58" s="19"/>
      <c r="F58" s="19"/>
      <c r="G58" s="19"/>
      <c r="H58" s="19"/>
      <c r="I58" s="19"/>
      <c r="J58" s="19"/>
      <c r="N58" s="6"/>
      <c r="V58" s="9" t="s">
        <v>307</v>
      </c>
      <c r="W58" s="9">
        <v>9.3000000000000007</v>
      </c>
      <c r="X58" s="9" t="s">
        <v>308</v>
      </c>
      <c r="AE58" s="24">
        <f>SUM(AE51:AE57)/1000</f>
        <v>0</v>
      </c>
      <c r="AF58" s="24" t="s">
        <v>223</v>
      </c>
      <c r="AI58" s="81">
        <f ca="1">AJ34+AJ36+AJ38+AJ40+AJ41+AJ42+AJ48</f>
        <v>0</v>
      </c>
      <c r="AJ58" s="81" t="s">
        <v>309</v>
      </c>
    </row>
    <row r="59" spans="3:46">
      <c r="C59" s="51" t="s">
        <v>310</v>
      </c>
      <c r="D59" s="51" t="s">
        <v>311</v>
      </c>
      <c r="E59" s="51" t="s">
        <v>172</v>
      </c>
      <c r="F59" s="212" t="s">
        <v>93</v>
      </c>
      <c r="G59" s="213"/>
      <c r="H59" s="213"/>
      <c r="I59" s="213"/>
      <c r="J59" s="169"/>
      <c r="N59" s="6"/>
      <c r="V59" s="9" t="s">
        <v>312</v>
      </c>
      <c r="W59" s="9">
        <f>0.45</f>
        <v>0.45</v>
      </c>
      <c r="X59" s="9" t="s">
        <v>313</v>
      </c>
      <c r="Y59" s="9" t="s">
        <v>314</v>
      </c>
      <c r="Z59" s="9" t="s">
        <v>315</v>
      </c>
    </row>
    <row r="60" spans="3:46">
      <c r="C60" s="20" t="s">
        <v>316</v>
      </c>
      <c r="D60" s="130"/>
      <c r="E60" s="130" t="s">
        <v>239</v>
      </c>
      <c r="F60" s="312"/>
      <c r="G60" s="313"/>
      <c r="H60" s="313"/>
      <c r="I60" s="313"/>
      <c r="J60" s="314"/>
      <c r="N60" s="6"/>
      <c r="V60" s="9" t="s">
        <v>317</v>
      </c>
      <c r="W60" s="9">
        <v>4.2888888888888896</v>
      </c>
      <c r="X60" s="9" t="s">
        <v>318</v>
      </c>
      <c r="Y60" s="9"/>
      <c r="Z60" s="9"/>
    </row>
    <row r="61" spans="3:46">
      <c r="C61" s="20" t="s">
        <v>319</v>
      </c>
      <c r="D61" s="130"/>
      <c r="E61" s="130" t="s">
        <v>239</v>
      </c>
      <c r="F61" s="312"/>
      <c r="G61" s="313"/>
      <c r="H61" s="313"/>
      <c r="I61" s="313"/>
      <c r="J61" s="314"/>
      <c r="N61" s="6"/>
      <c r="V61" s="9" t="s">
        <v>320</v>
      </c>
      <c r="W61" s="9">
        <v>0.7</v>
      </c>
      <c r="X61" s="9" t="s">
        <v>321</v>
      </c>
      <c r="Y61" s="9" t="s">
        <v>322</v>
      </c>
      <c r="Z61" s="9" t="s">
        <v>323</v>
      </c>
    </row>
    <row r="62" spans="3:46">
      <c r="C62" s="20" t="s">
        <v>324</v>
      </c>
      <c r="D62" s="130"/>
      <c r="E62" s="130" t="s">
        <v>239</v>
      </c>
      <c r="F62" s="312"/>
      <c r="G62" s="313"/>
      <c r="H62" s="313"/>
      <c r="I62" s="313"/>
      <c r="J62" s="314"/>
      <c r="N62" s="6"/>
      <c r="V62" s="9" t="s">
        <v>320</v>
      </c>
      <c r="W62" s="9">
        <f>623251/1080000</f>
        <v>0.57708425925925921</v>
      </c>
      <c r="X62" s="9" t="s">
        <v>321</v>
      </c>
      <c r="Y62" s="9" t="s">
        <v>325</v>
      </c>
      <c r="Z62" s="9"/>
    </row>
    <row r="63" spans="3:46">
      <c r="C63" s="20" t="s">
        <v>326</v>
      </c>
      <c r="D63" s="130"/>
      <c r="E63" s="130" t="s">
        <v>239</v>
      </c>
      <c r="F63" s="312"/>
      <c r="G63" s="313"/>
      <c r="H63" s="313"/>
      <c r="I63" s="313"/>
      <c r="J63" s="314"/>
      <c r="N63" s="6"/>
      <c r="V63" s="9" t="s">
        <v>303</v>
      </c>
      <c r="W63" s="9">
        <v>0.66</v>
      </c>
      <c r="X63" s="9" t="s">
        <v>327</v>
      </c>
      <c r="Y63" s="9" t="s">
        <v>325</v>
      </c>
      <c r="Z63" s="9"/>
      <c r="AI63" s="2" t="str">
        <f t="shared" ref="AI63" si="41">AJ47&amp;" "&amp;AK47</f>
        <v xml:space="preserve"> </v>
      </c>
    </row>
    <row r="64" spans="3:46">
      <c r="C64" s="20" t="s">
        <v>328</v>
      </c>
      <c r="D64" s="130"/>
      <c r="E64" s="130" t="s">
        <v>309</v>
      </c>
      <c r="F64" s="312"/>
      <c r="G64" s="313"/>
      <c r="H64" s="313"/>
      <c r="I64" s="313"/>
      <c r="J64" s="314"/>
      <c r="N64" s="6"/>
    </row>
    <row r="65" spans="3:38">
      <c r="C65" s="20" t="s">
        <v>329</v>
      </c>
      <c r="D65" s="130"/>
      <c r="E65" s="130" t="s">
        <v>309</v>
      </c>
      <c r="F65" s="312"/>
      <c r="G65" s="313"/>
      <c r="H65" s="313"/>
      <c r="I65" s="313"/>
      <c r="J65" s="314"/>
      <c r="N65" s="6"/>
      <c r="V65" s="407" t="s">
        <v>330</v>
      </c>
      <c r="W65" s="407"/>
      <c r="X65" s="407"/>
      <c r="Y65" s="407"/>
      <c r="Z65" s="407"/>
    </row>
    <row r="66" spans="3:38">
      <c r="C66" s="20" t="s">
        <v>331</v>
      </c>
      <c r="D66" s="130"/>
      <c r="E66" s="130" t="s">
        <v>309</v>
      </c>
      <c r="F66" s="312"/>
      <c r="G66" s="313"/>
      <c r="H66" s="313"/>
      <c r="I66" s="313"/>
      <c r="J66" s="314"/>
      <c r="N66" s="6"/>
      <c r="V66" s="9" t="s">
        <v>332</v>
      </c>
      <c r="W66" s="9" t="s">
        <v>333</v>
      </c>
      <c r="X66" s="9" t="s">
        <v>65</v>
      </c>
      <c r="Y66" s="9" t="s">
        <v>334</v>
      </c>
      <c r="Z66" s="9"/>
    </row>
    <row r="67" spans="3:38">
      <c r="G67" s="337"/>
      <c r="H67" s="337"/>
      <c r="I67" s="337"/>
      <c r="J67" s="337"/>
      <c r="N67" s="6"/>
      <c r="V67" s="9">
        <v>50</v>
      </c>
      <c r="W67" s="9">
        <v>2</v>
      </c>
      <c r="X67" s="14">
        <f>E50*V67*W67*Z54/1000</f>
        <v>0</v>
      </c>
      <c r="Y67" s="14">
        <f>E50*D50*W67*VLOOKUP(G50,$V$53:$Z$56,$Z$51,FALSE)/1000</f>
        <v>0</v>
      </c>
      <c r="Z67" s="9" t="s">
        <v>335</v>
      </c>
    </row>
    <row r="68" spans="3:38">
      <c r="G68" s="337"/>
      <c r="H68" s="337"/>
      <c r="I68" s="337"/>
      <c r="J68" s="337"/>
      <c r="V68" s="9">
        <v>50</v>
      </c>
      <c r="W68" s="9">
        <v>2</v>
      </c>
      <c r="X68" s="14">
        <f>E51*V68*W68*Z54/1000</f>
        <v>0</v>
      </c>
      <c r="Y68" s="14">
        <f>E51*D51*W68*VLOOKUP(G51,$V$53:$Z$56,$Z$51,FALSE)/1000</f>
        <v>0</v>
      </c>
      <c r="Z68" s="9" t="s">
        <v>335</v>
      </c>
    </row>
    <row r="69" spans="3:38" hidden="1">
      <c r="G69" s="337"/>
      <c r="H69" s="337"/>
      <c r="I69" s="337"/>
      <c r="J69" s="337"/>
      <c r="X69" s="231">
        <f>X67+X68</f>
        <v>0</v>
      </c>
      <c r="Y69" s="231">
        <f>Y67+Y68</f>
        <v>0</v>
      </c>
      <c r="Z69" s="9" t="s">
        <v>335</v>
      </c>
    </row>
    <row r="70" spans="3:38" hidden="1"/>
    <row r="71" spans="3:38" hidden="1"/>
    <row r="72" spans="3:38" hidden="1"/>
    <row r="73" spans="3:38" hidden="1"/>
    <row r="74" spans="3:38" hidden="1"/>
    <row r="75" spans="3:38" hidden="1"/>
    <row r="76" spans="3:38" ht="25.5">
      <c r="C76" s="53" t="s">
        <v>336</v>
      </c>
    </row>
    <row r="78" spans="3:38" ht="15" customHeight="1">
      <c r="C78" s="360" t="s">
        <v>337</v>
      </c>
      <c r="D78" s="338" t="str">
        <f>"Tonn CO2 ekv, "&amp;VLOOKUP('Generelt om prosjektet'!C25,'Generelt om prosjektet'!W25:X28,2,FALSE)&amp;". Klimagassutslippene er oppgit uten hensyn til binding av biogent karbon."</f>
        <v>Tonn CO2 ekv, GWP. Klimagassutslippene er oppgit uten hensyn til binding av biogent karbon.</v>
      </c>
      <c r="E78" s="339"/>
      <c r="F78" s="339"/>
      <c r="G78" s="339"/>
      <c r="H78" s="329" t="s">
        <v>338</v>
      </c>
      <c r="I78" s="232" t="s">
        <v>93</v>
      </c>
      <c r="J78" s="233"/>
      <c r="K78" s="233"/>
      <c r="L78" s="234"/>
      <c r="V78" s="6" t="s">
        <v>339</v>
      </c>
    </row>
    <row r="79" spans="3:38" ht="45" customHeight="1">
      <c r="C79" s="361"/>
      <c r="D79" s="151" t="s">
        <v>340</v>
      </c>
      <c r="E79" s="235" t="s">
        <v>341</v>
      </c>
      <c r="F79" s="235" t="s">
        <v>342</v>
      </c>
      <c r="G79" s="236" t="s">
        <v>170</v>
      </c>
      <c r="H79" s="330"/>
      <c r="I79" s="237"/>
      <c r="J79" s="238"/>
      <c r="K79" s="238"/>
      <c r="L79" s="239"/>
      <c r="V79" s="8" t="s">
        <v>65</v>
      </c>
      <c r="W79" s="8" t="s">
        <v>343</v>
      </c>
      <c r="X79" s="8" t="s">
        <v>344</v>
      </c>
      <c r="Y79" s="8" t="s">
        <v>345</v>
      </c>
      <c r="Z79" s="8" t="s">
        <v>346</v>
      </c>
      <c r="AA79" s="5" t="s">
        <v>614</v>
      </c>
    </row>
    <row r="80" spans="3:38" ht="30" customHeight="1">
      <c r="C80" s="152" t="s">
        <v>347</v>
      </c>
      <c r="D80" s="240"/>
      <c r="E80" s="140"/>
      <c r="F80" s="241"/>
      <c r="G80" s="242">
        <f>E80</f>
        <v>0</v>
      </c>
      <c r="H80" s="243">
        <f>IF(G93=0,0,IF(G80=0,0.1,G80))</f>
        <v>0</v>
      </c>
      <c r="I80" s="334"/>
      <c r="J80" s="335"/>
      <c r="K80" s="335"/>
      <c r="L80" s="336"/>
      <c r="U80" s="62">
        <f>G80</f>
        <v>0</v>
      </c>
      <c r="V80" s="244">
        <f>SUM(BB19:BB24)/1000</f>
        <v>0</v>
      </c>
      <c r="W80" s="245" t="s">
        <v>348</v>
      </c>
      <c r="X80" s="9" t="s">
        <v>349</v>
      </c>
      <c r="Y80" s="245" t="s">
        <v>350</v>
      </c>
      <c r="Z80" s="9" t="s">
        <v>349</v>
      </c>
      <c r="AH80" s="15" t="s">
        <v>32</v>
      </c>
      <c r="AI80" s="14">
        <f>G80</f>
        <v>0</v>
      </c>
      <c r="AJ80" s="100">
        <f>V80</f>
        <v>0</v>
      </c>
      <c r="AK80" s="78">
        <f>IFERROR(AI80/AJ80,0)</f>
        <v>0</v>
      </c>
      <c r="AL80" s="9"/>
    </row>
    <row r="81" spans="3:38" ht="15" customHeight="1">
      <c r="C81" s="214" t="s">
        <v>351</v>
      </c>
      <c r="D81" s="140"/>
      <c r="E81" s="140"/>
      <c r="F81" s="240"/>
      <c r="G81" s="242">
        <f>D81+E81</f>
        <v>0</v>
      </c>
      <c r="H81" s="246">
        <f>IFERROR(G81/V81,1)</f>
        <v>1</v>
      </c>
      <c r="I81" s="318"/>
      <c r="J81" s="319"/>
      <c r="K81" s="319"/>
      <c r="L81" s="320"/>
      <c r="U81" s="62">
        <f t="shared" ref="U81:U91" si="42">G81</f>
        <v>0</v>
      </c>
      <c r="V81" s="247">
        <f>(AN25+AS25+AO25+AT25)/1000</f>
        <v>0</v>
      </c>
      <c r="W81" s="248">
        <v>1.1000000000000001</v>
      </c>
      <c r="X81" s="248">
        <v>0.9</v>
      </c>
      <c r="Y81" s="248">
        <v>0.1</v>
      </c>
      <c r="Z81" s="249">
        <v>0</v>
      </c>
      <c r="AH81" s="15" t="s">
        <v>33</v>
      </c>
      <c r="AI81" s="14">
        <f>G81</f>
        <v>0</v>
      </c>
      <c r="AJ81" s="14">
        <f>V81</f>
        <v>0</v>
      </c>
      <c r="AK81" s="78">
        <f>IFERROR(AI81/AJ81,0)</f>
        <v>0</v>
      </c>
      <c r="AL81" s="9"/>
    </row>
    <row r="82" spans="3:38">
      <c r="C82" s="20" t="s">
        <v>352</v>
      </c>
      <c r="D82" s="140"/>
      <c r="E82" s="140"/>
      <c r="F82" s="140"/>
      <c r="G82" s="242">
        <f>D82+E82+F82</f>
        <v>0</v>
      </c>
      <c r="H82" s="246">
        <f>IFERROR(G82/V82,1)</f>
        <v>1</v>
      </c>
      <c r="I82" s="331"/>
      <c r="J82" s="332"/>
      <c r="K82" s="332"/>
      <c r="L82" s="333"/>
      <c r="U82" s="62">
        <f t="shared" si="42"/>
        <v>0</v>
      </c>
      <c r="V82" s="247">
        <f>(SUM(AN19:AN24)+SUM(AS19:AS24))/1000</f>
        <v>0</v>
      </c>
      <c r="W82" s="248">
        <v>1.1000000000000001</v>
      </c>
      <c r="X82" s="248">
        <v>0.9</v>
      </c>
      <c r="Y82" s="248">
        <v>0.1</v>
      </c>
      <c r="Z82" s="249">
        <v>0</v>
      </c>
      <c r="AA82" s="2">
        <f>SUM(BO19:BO24)/1000</f>
        <v>0</v>
      </c>
      <c r="AH82" s="9" t="s">
        <v>36</v>
      </c>
      <c r="AI82" s="14">
        <f>G82+G83+G89+G92</f>
        <v>0</v>
      </c>
      <c r="AJ82" s="14">
        <f>V82+V83+V89</f>
        <v>0</v>
      </c>
      <c r="AK82" s="78">
        <f>IFERROR(AI82/AJ82,0)</f>
        <v>0</v>
      </c>
      <c r="AL82" s="9"/>
    </row>
    <row r="83" spans="3:38">
      <c r="C83" s="20" t="s">
        <v>353</v>
      </c>
      <c r="D83" s="140"/>
      <c r="E83" s="140"/>
      <c r="F83" s="140"/>
      <c r="G83" s="242">
        <f>D83+E83+F83</f>
        <v>0</v>
      </c>
      <c r="H83" s="246">
        <f>IFERROR(G83/V83,1)</f>
        <v>1</v>
      </c>
      <c r="I83" s="318"/>
      <c r="J83" s="319"/>
      <c r="K83" s="319"/>
      <c r="L83" s="320"/>
      <c r="U83" s="62">
        <f t="shared" si="42"/>
        <v>0</v>
      </c>
      <c r="V83" s="247">
        <f>(SUM(AO19:AO24)+SUM(AT19:AT24))/1000</f>
        <v>0</v>
      </c>
      <c r="W83" s="248">
        <v>1.1000000000000001</v>
      </c>
      <c r="X83" s="248">
        <v>0.9</v>
      </c>
      <c r="Y83" s="248">
        <v>0.1</v>
      </c>
      <c r="Z83" s="249">
        <v>0</v>
      </c>
      <c r="AH83" s="9" t="s">
        <v>38</v>
      </c>
      <c r="AI83" s="14">
        <f>G84+G85+G86</f>
        <v>0</v>
      </c>
      <c r="AJ83" s="14">
        <f>V84+V85+V86</f>
        <v>0</v>
      </c>
      <c r="AK83" s="78">
        <f>IFERROR((AI83-G85)/AJ83,0)</f>
        <v>0</v>
      </c>
      <c r="AL83" s="9"/>
    </row>
    <row r="84" spans="3:38">
      <c r="C84" s="214" t="s">
        <v>354</v>
      </c>
      <c r="D84" s="140"/>
      <c r="E84" s="140"/>
      <c r="F84" s="140"/>
      <c r="G84" s="242">
        <f>D84+E84+F84</f>
        <v>0</v>
      </c>
      <c r="H84" s="246">
        <f>IFERROR(G84/V84,1)</f>
        <v>1</v>
      </c>
      <c r="I84" s="318"/>
      <c r="J84" s="319"/>
      <c r="K84" s="319"/>
      <c r="L84" s="320"/>
      <c r="U84" s="62">
        <f t="shared" si="42"/>
        <v>0</v>
      </c>
      <c r="V84" s="247">
        <f>(SUM(AP19:AP25)+SUM(AU19:AU25))/1000</f>
        <v>0</v>
      </c>
      <c r="W84" s="248">
        <v>1.1000000000000001</v>
      </c>
      <c r="X84" s="248">
        <v>0.9</v>
      </c>
      <c r="Y84" s="248">
        <v>0.1</v>
      </c>
      <c r="Z84" s="249">
        <v>0</v>
      </c>
      <c r="AH84" s="9" t="s">
        <v>40</v>
      </c>
      <c r="AI84" s="14">
        <f>G90</f>
        <v>0</v>
      </c>
      <c r="AJ84" s="14">
        <f>V90</f>
        <v>0</v>
      </c>
      <c r="AK84" s="78">
        <f>IFERROR(AI84/AJ84,0)</f>
        <v>0</v>
      </c>
      <c r="AL84" s="9"/>
    </row>
    <row r="85" spans="3:38">
      <c r="C85" s="214" t="s">
        <v>355</v>
      </c>
      <c r="D85" s="365"/>
      <c r="E85" s="366"/>
      <c r="F85" s="367"/>
      <c r="G85" s="242">
        <f>D85</f>
        <v>0</v>
      </c>
      <c r="H85" s="250" t="s">
        <v>349</v>
      </c>
      <c r="I85" s="318"/>
      <c r="J85" s="319"/>
      <c r="K85" s="319"/>
      <c r="L85" s="320"/>
      <c r="U85" s="62"/>
      <c r="V85" s="251"/>
      <c r="AH85" s="9" t="s">
        <v>42</v>
      </c>
      <c r="AI85" s="14">
        <f>G87+G88</f>
        <v>0</v>
      </c>
      <c r="AJ85" s="14">
        <f>V87+V88</f>
        <v>0</v>
      </c>
      <c r="AK85" s="78">
        <f>IFERROR(AI85/AJ85,0)</f>
        <v>0</v>
      </c>
      <c r="AL85" s="9"/>
    </row>
    <row r="86" spans="3:38">
      <c r="C86" s="214" t="s">
        <v>356</v>
      </c>
      <c r="D86" s="362">
        <f>Y69</f>
        <v>0</v>
      </c>
      <c r="E86" s="363"/>
      <c r="F86" s="364"/>
      <c r="G86" s="242">
        <f>D86</f>
        <v>0</v>
      </c>
      <c r="H86" s="246">
        <f>IFERROR(G86/V86,1)</f>
        <v>1</v>
      </c>
      <c r="I86" s="331"/>
      <c r="J86" s="332"/>
      <c r="K86" s="332"/>
      <c r="L86" s="333"/>
      <c r="U86" s="62">
        <f t="shared" si="42"/>
        <v>0</v>
      </c>
      <c r="V86" s="247">
        <f>X69</f>
        <v>0</v>
      </c>
      <c r="W86" s="248">
        <v>1.1000000000000001</v>
      </c>
      <c r="X86" s="248">
        <v>0.9</v>
      </c>
      <c r="Y86" s="248">
        <v>0</v>
      </c>
      <c r="Z86" s="245" t="s">
        <v>349</v>
      </c>
      <c r="AH86" s="9" t="s">
        <v>44</v>
      </c>
      <c r="AI86" s="14">
        <f>G91</f>
        <v>0</v>
      </c>
      <c r="AJ86" s="14">
        <f>V91</f>
        <v>0</v>
      </c>
      <c r="AK86" s="78">
        <f>IFERROR(AI86/AJ86,0)</f>
        <v>0</v>
      </c>
      <c r="AL86" s="9"/>
    </row>
    <row r="87" spans="3:38" ht="15" customHeight="1">
      <c r="C87" s="214" t="s">
        <v>357</v>
      </c>
      <c r="D87" s="362">
        <f>AE48</f>
        <v>0</v>
      </c>
      <c r="E87" s="363"/>
      <c r="F87" s="364"/>
      <c r="G87" s="242">
        <f t="shared" ref="G87:G92" si="43">D87+E87+F87</f>
        <v>0</v>
      </c>
      <c r="H87" s="316">
        <f>V87</f>
        <v>0</v>
      </c>
      <c r="I87" s="318"/>
      <c r="J87" s="319"/>
      <c r="K87" s="319"/>
      <c r="L87" s="320"/>
      <c r="U87" s="62">
        <f>G87+G88</f>
        <v>0</v>
      </c>
      <c r="V87" s="14">
        <f>(G87+G88)</f>
        <v>0</v>
      </c>
      <c r="W87" s="252" t="s">
        <v>358</v>
      </c>
      <c r="X87" s="252" t="s">
        <v>359</v>
      </c>
      <c r="Y87" s="252" t="s">
        <v>360</v>
      </c>
      <c r="Z87" s="245" t="s">
        <v>349</v>
      </c>
      <c r="AH87" s="9"/>
      <c r="AI87" s="14">
        <f>SUM(AI80:AI86)</f>
        <v>0</v>
      </c>
      <c r="AJ87" s="9"/>
      <c r="AK87" s="78"/>
      <c r="AL87" s="9"/>
    </row>
    <row r="88" spans="3:38" ht="15" customHeight="1">
      <c r="C88" s="214" t="s">
        <v>361</v>
      </c>
      <c r="D88" s="362">
        <f>AE58</f>
        <v>0</v>
      </c>
      <c r="E88" s="363"/>
      <c r="F88" s="364"/>
      <c r="G88" s="242">
        <f t="shared" si="43"/>
        <v>0</v>
      </c>
      <c r="H88" s="317"/>
      <c r="I88" s="334"/>
      <c r="J88" s="335"/>
      <c r="K88" s="335"/>
      <c r="L88" s="336"/>
      <c r="U88" s="62"/>
      <c r="V88" s="14"/>
      <c r="W88" s="252" t="s">
        <v>358</v>
      </c>
      <c r="X88" s="252" t="s">
        <v>359</v>
      </c>
      <c r="Y88" s="252" t="s">
        <v>360</v>
      </c>
      <c r="Z88" s="245" t="s">
        <v>349</v>
      </c>
    </row>
    <row r="89" spans="3:38">
      <c r="C89" s="20" t="str">
        <f>"B2, B4, Drift og vedlikehold, "&amp;'Generelt om prosjektet'!C24&amp;" år"</f>
        <v>B2, B4, Drift og vedlikehold, 50 år</v>
      </c>
      <c r="D89" s="140"/>
      <c r="E89" s="140"/>
      <c r="F89" s="140"/>
      <c r="G89" s="242">
        <f t="shared" si="43"/>
        <v>0</v>
      </c>
      <c r="H89" s="246">
        <f>IFERROR(G89/V89,1)</f>
        <v>1</v>
      </c>
      <c r="I89" s="331"/>
      <c r="J89" s="332"/>
      <c r="K89" s="332"/>
      <c r="L89" s="333"/>
      <c r="U89" s="62">
        <f t="shared" si="42"/>
        <v>0</v>
      </c>
      <c r="V89" s="247">
        <f>(SUM(AQ19:AQ24)+SUM(AV19:AV24))/1000</f>
        <v>0</v>
      </c>
      <c r="W89" s="248">
        <v>1.1000000000000001</v>
      </c>
      <c r="X89" s="248">
        <v>0.9</v>
      </c>
      <c r="Y89" s="248">
        <v>0.1</v>
      </c>
      <c r="Z89" s="249">
        <v>0</v>
      </c>
    </row>
    <row r="90" spans="3:38">
      <c r="C90" s="20" t="str">
        <f>"B6: Energi i drift, "&amp;'Generelt om prosjektet'!C24&amp;" år"</f>
        <v>B6: Energi i drift, 50 år</v>
      </c>
      <c r="D90" s="362">
        <f>SUM(AF36:AF39)</f>
        <v>0</v>
      </c>
      <c r="E90" s="363"/>
      <c r="F90" s="364"/>
      <c r="G90" s="242">
        <f t="shared" si="43"/>
        <v>0</v>
      </c>
      <c r="H90" s="246">
        <f>IFERROR(G90/V90,1)</f>
        <v>1</v>
      </c>
      <c r="I90" s="318"/>
      <c r="J90" s="319"/>
      <c r="K90" s="319"/>
      <c r="L90" s="320"/>
      <c r="U90" s="62">
        <f t="shared" si="42"/>
        <v>0</v>
      </c>
      <c r="V90" s="247">
        <f>AQ50</f>
        <v>0</v>
      </c>
      <c r="W90" s="248">
        <v>1.1000000000000001</v>
      </c>
      <c r="X90" s="248">
        <v>0.9</v>
      </c>
      <c r="Y90" s="248">
        <v>0.1</v>
      </c>
      <c r="Z90" s="249">
        <v>0</v>
      </c>
    </row>
    <row r="91" spans="3:38">
      <c r="C91" s="214" t="s">
        <v>362</v>
      </c>
      <c r="D91" s="143"/>
      <c r="E91" s="143"/>
      <c r="F91" s="143"/>
      <c r="G91" s="242">
        <f t="shared" si="43"/>
        <v>0</v>
      </c>
      <c r="H91" s="246">
        <f>IFERROR(G91/V91,1)</f>
        <v>1</v>
      </c>
      <c r="I91" s="318"/>
      <c r="J91" s="319"/>
      <c r="K91" s="319"/>
      <c r="L91" s="320"/>
      <c r="U91" s="62">
        <f t="shared" si="42"/>
        <v>0</v>
      </c>
      <c r="V91" s="247">
        <f>(SUM(AR19:AR25)+SUM(AW19:AW25))/1000</f>
        <v>0</v>
      </c>
      <c r="W91" s="248">
        <v>1.1000000000000001</v>
      </c>
      <c r="X91" s="248">
        <v>0.9</v>
      </c>
      <c r="Y91" s="248">
        <v>0.4</v>
      </c>
      <c r="Z91" s="249">
        <v>0</v>
      </c>
    </row>
    <row r="92" spans="3:38">
      <c r="C92" s="214" t="s">
        <v>363</v>
      </c>
      <c r="D92" s="241">
        <f>IF(E44=Nei,AF40,0)</f>
        <v>0</v>
      </c>
      <c r="E92" s="241"/>
      <c r="F92" s="241"/>
      <c r="G92" s="242">
        <f t="shared" si="43"/>
        <v>0</v>
      </c>
      <c r="H92" s="253" t="s">
        <v>349</v>
      </c>
      <c r="I92" s="318"/>
      <c r="J92" s="319"/>
      <c r="K92" s="319"/>
      <c r="L92" s="320"/>
      <c r="U92" s="62"/>
      <c r="V92" s="251"/>
      <c r="W92" s="254"/>
      <c r="X92" s="254"/>
      <c r="Y92" s="254"/>
    </row>
    <row r="93" spans="3:38">
      <c r="C93" s="255" t="s">
        <v>364</v>
      </c>
      <c r="D93" s="256">
        <f>SUM(D80:D92)</f>
        <v>0</v>
      </c>
      <c r="E93" s="256">
        <f>SUM(E80:E92)</f>
        <v>0</v>
      </c>
      <c r="F93" s="256">
        <f>SUM(F80:F92)</f>
        <v>0</v>
      </c>
      <c r="G93" s="256">
        <f>D93+E93+F93</f>
        <v>0</v>
      </c>
      <c r="H93" s="257">
        <f>IFERROR(U93/V93,0)</f>
        <v>0</v>
      </c>
      <c r="I93" s="357"/>
      <c r="J93" s="358"/>
      <c r="K93" s="358"/>
      <c r="L93" s="359"/>
      <c r="U93" s="224">
        <f>SUM(U80:U92)</f>
        <v>0</v>
      </c>
      <c r="V93" s="224">
        <f>SUM(V80:V92)</f>
        <v>0</v>
      </c>
    </row>
    <row r="94" spans="3:38">
      <c r="C94" s="19"/>
      <c r="D94" s="19"/>
      <c r="E94" s="19"/>
      <c r="F94" s="19"/>
      <c r="G94" s="19"/>
      <c r="H94" s="19"/>
      <c r="I94" s="19"/>
      <c r="J94" s="19"/>
      <c r="K94" s="19"/>
      <c r="L94" s="19"/>
    </row>
    <row r="95" spans="3:38">
      <c r="C95" s="19"/>
      <c r="D95" s="19"/>
      <c r="E95" s="19"/>
      <c r="F95" s="19"/>
      <c r="G95" s="19"/>
      <c r="H95" s="19"/>
      <c r="I95" s="19"/>
      <c r="J95" s="19"/>
      <c r="K95" s="19"/>
      <c r="L95" s="19"/>
      <c r="V95" s="62"/>
    </row>
    <row r="96" spans="3:38">
      <c r="C96" s="354" t="s">
        <v>365</v>
      </c>
      <c r="D96" s="338" t="str">
        <f>D78</f>
        <v>Tonn CO2 ekv, GWP. Klimagassutslippene er oppgit uten hensyn til binding av biogent karbon.</v>
      </c>
      <c r="E96" s="339"/>
      <c r="F96" s="339"/>
      <c r="G96" s="339"/>
      <c r="H96" s="356"/>
      <c r="I96" s="232" t="s">
        <v>93</v>
      </c>
      <c r="J96" s="258"/>
      <c r="K96" s="233"/>
      <c r="L96" s="234"/>
    </row>
    <row r="97" spans="3:24" ht="30" customHeight="1">
      <c r="C97" s="355"/>
      <c r="D97" s="151" t="s">
        <v>340</v>
      </c>
      <c r="E97" s="235" t="s">
        <v>162</v>
      </c>
      <c r="F97" s="235" t="s">
        <v>163</v>
      </c>
      <c r="G97" s="393" t="s">
        <v>170</v>
      </c>
      <c r="H97" s="394"/>
      <c r="I97" s="237"/>
      <c r="J97" s="259"/>
      <c r="K97" s="238"/>
      <c r="L97" s="239"/>
      <c r="P97" s="62"/>
    </row>
    <row r="98" spans="3:24">
      <c r="C98" s="214" t="s">
        <v>366</v>
      </c>
      <c r="D98" s="340"/>
      <c r="E98" s="342"/>
      <c r="F98" s="241"/>
      <c r="G98" s="395">
        <f>D98</f>
        <v>0</v>
      </c>
      <c r="H98" s="396"/>
      <c r="I98" s="340"/>
      <c r="J98" s="341"/>
      <c r="K98" s="341"/>
      <c r="L98" s="342"/>
      <c r="P98" s="62"/>
    </row>
    <row r="99" spans="3:24" ht="30" customHeight="1">
      <c r="C99" s="20" t="s">
        <v>47</v>
      </c>
      <c r="D99" s="391" t="str">
        <f ca="1">IF(AX32&gt;0,"Beregnet med "&amp;AX32&amp;" års 'restlevetid' til beregningsperioden på "&amp;'Generelt om prosjektet'!C24&amp;" år","")</f>
        <v/>
      </c>
      <c r="E99" s="392"/>
      <c r="F99" s="260">
        <f ca="1">SUM(AX33:BA33)/1000</f>
        <v>0</v>
      </c>
      <c r="G99" s="395">
        <f ca="1">F99</f>
        <v>0</v>
      </c>
      <c r="H99" s="396"/>
      <c r="I99" s="340"/>
      <c r="J99" s="341"/>
      <c r="K99" s="341"/>
      <c r="L99" s="342"/>
    </row>
    <row r="100" spans="3:24">
      <c r="C100" s="343" t="s">
        <v>367</v>
      </c>
      <c r="D100" s="344"/>
      <c r="E100" s="344"/>
      <c r="F100" s="344"/>
      <c r="G100" s="344"/>
      <c r="H100" s="344"/>
      <c r="I100" s="344"/>
      <c r="J100" s="344"/>
      <c r="K100" s="344"/>
      <c r="L100" s="345"/>
    </row>
    <row r="101" spans="3:24">
      <c r="C101" s="346"/>
      <c r="D101" s="347"/>
      <c r="E101" s="347"/>
      <c r="F101" s="347"/>
      <c r="G101" s="347"/>
      <c r="H101" s="347"/>
      <c r="I101" s="347"/>
      <c r="J101" s="347"/>
      <c r="K101" s="347"/>
      <c r="L101" s="348"/>
    </row>
    <row r="102" spans="3:24">
      <c r="C102" s="346"/>
      <c r="D102" s="347"/>
      <c r="E102" s="347"/>
      <c r="F102" s="347"/>
      <c r="G102" s="347"/>
      <c r="H102" s="347"/>
      <c r="I102" s="347"/>
      <c r="J102" s="347"/>
      <c r="K102" s="347"/>
      <c r="L102" s="348"/>
    </row>
    <row r="103" spans="3:24">
      <c r="C103" s="349"/>
      <c r="D103" s="350"/>
      <c r="E103" s="350"/>
      <c r="F103" s="350"/>
      <c r="G103" s="350"/>
      <c r="H103" s="350"/>
      <c r="I103" s="350"/>
      <c r="J103" s="350"/>
      <c r="K103" s="350"/>
      <c r="L103" s="351"/>
    </row>
    <row r="107" spans="3:24" ht="25.5">
      <c r="C107" s="53" t="str">
        <f>"Alternativ 1: Resultat. B6: Energi i drift, "&amp;'Generelt om prosjektet'!C24&amp;" år, ulike utslippsfaktorer for energi"</f>
        <v>Alternativ 1: Resultat. B6: Energi i drift, 50 år, ulike utslippsfaktorer for energi</v>
      </c>
    </row>
    <row r="108" spans="3:24">
      <c r="C108" s="19"/>
      <c r="D108" s="19"/>
      <c r="E108" s="19"/>
      <c r="F108" s="19"/>
      <c r="G108" s="19"/>
      <c r="H108" s="19"/>
      <c r="I108" s="19"/>
    </row>
    <row r="109" spans="3:24">
      <c r="C109" s="19"/>
      <c r="D109" s="311" t="s">
        <v>368</v>
      </c>
      <c r="E109" s="311"/>
      <c r="F109" s="311"/>
      <c r="G109" s="19"/>
      <c r="H109" s="19"/>
      <c r="I109" s="19"/>
    </row>
    <row r="110" spans="3:24" ht="25.5">
      <c r="C110" s="51" t="s">
        <v>369</v>
      </c>
      <c r="D110" s="51" t="s">
        <v>370</v>
      </c>
      <c r="E110" s="51" t="s">
        <v>371</v>
      </c>
      <c r="F110" s="51" t="s">
        <v>372</v>
      </c>
      <c r="G110" s="261" t="str">
        <f>"Beregnet utslipp over "&amp;'Generelt om prosjektet'!C24&amp;" år"</f>
        <v>Beregnet utslipp over 50 år</v>
      </c>
      <c r="H110" s="151" t="s">
        <v>172</v>
      </c>
      <c r="I110" s="19"/>
    </row>
    <row r="111" spans="3:24">
      <c r="C111" s="20" t="s">
        <v>373</v>
      </c>
      <c r="D111" s="262">
        <f>Utslippsdata!C77</f>
        <v>1.7747665114285747E-2</v>
      </c>
      <c r="E111" s="262">
        <f>Utslippsdata!C83</f>
        <v>1.4693376033679371E-2</v>
      </c>
      <c r="F111" s="20">
        <f>E37</f>
        <v>0</v>
      </c>
      <c r="G111" s="242">
        <f>(($W$111+$W$114)*D111+$W$112*E111+$W$113*F111)*$W$115/1000</f>
        <v>0</v>
      </c>
      <c r="H111" s="20" t="s">
        <v>374</v>
      </c>
      <c r="I111" s="19"/>
      <c r="V111" s="9" t="s">
        <v>370</v>
      </c>
      <c r="W111" s="14">
        <f>E34</f>
        <v>0</v>
      </c>
      <c r="X111" s="9" t="s">
        <v>375</v>
      </c>
    </row>
    <row r="112" spans="3:24">
      <c r="C112" s="437" t="s">
        <v>382</v>
      </c>
      <c r="D112" s="438">
        <f>Utslippsdata!C76</f>
        <v>0.10462896495714274</v>
      </c>
      <c r="E112" s="438">
        <f>Utslippsdata!C80</f>
        <v>3.8751119274583641E-2</v>
      </c>
      <c r="F112" s="437">
        <f>E37</f>
        <v>0</v>
      </c>
      <c r="G112" s="439">
        <f>(($W$111+$W$114)*D112+$W$112*E112+$W$113*F112)*$W$115/1000</f>
        <v>0</v>
      </c>
      <c r="H112" s="437" t="s">
        <v>374</v>
      </c>
      <c r="I112" s="19"/>
      <c r="V112" s="9" t="s">
        <v>377</v>
      </c>
      <c r="W112" s="14">
        <f>E35</f>
        <v>0</v>
      </c>
      <c r="X112" s="9" t="s">
        <v>375</v>
      </c>
    </row>
    <row r="113" spans="3:27">
      <c r="C113" s="19"/>
      <c r="D113" s="19"/>
      <c r="E113" s="19"/>
      <c r="F113" s="19"/>
      <c r="G113" s="19"/>
      <c r="H113" s="19"/>
      <c r="I113" s="19"/>
      <c r="V113" s="9" t="s">
        <v>378</v>
      </c>
      <c r="W113" s="14">
        <f>E36</f>
        <v>0</v>
      </c>
      <c r="X113" s="9" t="s">
        <v>375</v>
      </c>
    </row>
    <row r="114" spans="3:27">
      <c r="C114" s="19"/>
      <c r="D114" s="311" t="s">
        <v>368</v>
      </c>
      <c r="E114" s="311"/>
      <c r="F114" s="311"/>
      <c r="G114" s="19"/>
      <c r="H114" s="19"/>
      <c r="I114" s="19"/>
      <c r="V114" s="9" t="s">
        <v>379</v>
      </c>
      <c r="W114" s="14">
        <f>E39</f>
        <v>0</v>
      </c>
      <c r="X114" s="9" t="s">
        <v>375</v>
      </c>
    </row>
    <row r="115" spans="3:27" ht="38.25">
      <c r="C115" s="235" t="s">
        <v>380</v>
      </c>
      <c r="D115" s="51" t="s">
        <v>370</v>
      </c>
      <c r="E115" s="51" t="s">
        <v>371</v>
      </c>
      <c r="F115" s="51" t="s">
        <v>372</v>
      </c>
      <c r="G115" s="261" t="str">
        <f>"Beregnet utslipp over "&amp;'Generelt om prosjektet'!C29&amp;" år"</f>
        <v>Beregnet utslipp over  år</v>
      </c>
      <c r="H115" s="151" t="s">
        <v>172</v>
      </c>
      <c r="I115" s="19"/>
      <c r="V115" s="9" t="s">
        <v>381</v>
      </c>
      <c r="W115" s="9">
        <f>'Generelt om prosjektet'!C24</f>
        <v>50</v>
      </c>
      <c r="X115" s="9"/>
    </row>
    <row r="116" spans="3:27">
      <c r="C116" s="20" t="s">
        <v>373</v>
      </c>
      <c r="D116" s="262">
        <f>D111</f>
        <v>1.7747665114285747E-2</v>
      </c>
      <c r="E116" s="262">
        <f>Utslippsdata!C84</f>
        <v>6.5088487419817986E-2</v>
      </c>
      <c r="F116" s="20">
        <f>E37</f>
        <v>0</v>
      </c>
      <c r="G116" s="242">
        <f>(($W$111+$W$114)*D116+$W$112*E116+$W$113*F116)*$W$115/1000</f>
        <v>0</v>
      </c>
      <c r="H116" s="20" t="s">
        <v>374</v>
      </c>
      <c r="I116" s="19"/>
    </row>
    <row r="117" spans="3:27">
      <c r="C117" s="441" t="s">
        <v>376</v>
      </c>
      <c r="D117" s="442">
        <f>D112</f>
        <v>0.10462896495714274</v>
      </c>
      <c r="E117" s="442">
        <f>Utslippsdata!C81</f>
        <v>8.9146230660722248E-2</v>
      </c>
      <c r="F117" s="441">
        <f>E37</f>
        <v>0</v>
      </c>
      <c r="G117" s="443">
        <f>(($W$111+$W$114)*D117+$W$112*E117+$W$113*F117)*$W$115/1000</f>
        <v>0</v>
      </c>
      <c r="H117" s="441" t="s">
        <v>374</v>
      </c>
      <c r="I117" s="19"/>
    </row>
    <row r="118" spans="3:27">
      <c r="C118" s="19"/>
      <c r="D118" s="19"/>
      <c r="E118" s="19"/>
      <c r="F118" s="19"/>
      <c r="G118" s="19"/>
      <c r="H118" s="19"/>
      <c r="I118" s="19"/>
    </row>
    <row r="119" spans="3:27">
      <c r="C119" s="19"/>
      <c r="D119" s="19"/>
      <c r="E119" s="19"/>
      <c r="F119" s="19"/>
      <c r="G119" s="19"/>
      <c r="H119" s="19"/>
      <c r="I119" s="19"/>
    </row>
    <row r="122" spans="3:27" ht="15" customHeight="1"/>
    <row r="123" spans="3:27" ht="15" customHeight="1"/>
    <row r="124" spans="3:27" ht="15" customHeight="1"/>
    <row r="125" spans="3:27">
      <c r="AA125" s="9" t="s">
        <v>277</v>
      </c>
    </row>
    <row r="126" spans="3:27">
      <c r="AA126" s="9" t="s">
        <v>269</v>
      </c>
    </row>
    <row r="127" spans="3:27" ht="27">
      <c r="C127" s="1" t="s">
        <v>383</v>
      </c>
      <c r="D127" s="12"/>
    </row>
    <row r="128" spans="3:27" ht="15" customHeight="1">
      <c r="C128" s="132" t="s">
        <v>384</v>
      </c>
      <c r="D128" s="147" t="s">
        <v>269</v>
      </c>
    </row>
    <row r="130" spans="3:50" ht="15.75" thickBot="1">
      <c r="C130" s="5" t="s">
        <v>385</v>
      </c>
    </row>
    <row r="131" spans="3:50" ht="128.25">
      <c r="C131" s="263" t="s">
        <v>386</v>
      </c>
      <c r="D131" s="264" t="s">
        <v>347</v>
      </c>
      <c r="E131" s="264" t="s">
        <v>387</v>
      </c>
      <c r="F131" s="264" t="s">
        <v>388</v>
      </c>
      <c r="G131" s="264" t="s">
        <v>177</v>
      </c>
      <c r="H131" s="264" t="s">
        <v>354</v>
      </c>
      <c r="I131" s="264" t="s">
        <v>355</v>
      </c>
      <c r="J131" s="264" t="s">
        <v>356</v>
      </c>
      <c r="K131" s="264" t="s">
        <v>357</v>
      </c>
      <c r="L131" s="264" t="s">
        <v>361</v>
      </c>
      <c r="M131" s="264" t="s">
        <v>635</v>
      </c>
      <c r="N131" s="264" t="s">
        <v>389</v>
      </c>
      <c r="O131" s="264" t="s">
        <v>366</v>
      </c>
      <c r="P131" s="264" t="s">
        <v>180</v>
      </c>
      <c r="Q131" s="264" t="s">
        <v>390</v>
      </c>
      <c r="R131" s="148" t="s">
        <v>391</v>
      </c>
      <c r="S131" s="148" t="s">
        <v>391</v>
      </c>
      <c r="T131" s="148" t="s">
        <v>391</v>
      </c>
      <c r="U131" s="265"/>
      <c r="AK131" s="266">
        <v>1</v>
      </c>
      <c r="AL131" s="267">
        <v>2</v>
      </c>
      <c r="AM131" s="267">
        <v>3</v>
      </c>
      <c r="AN131" s="267">
        <v>4</v>
      </c>
      <c r="AO131" s="267">
        <v>5</v>
      </c>
      <c r="AP131" s="267">
        <v>6</v>
      </c>
      <c r="AQ131" s="267">
        <v>7</v>
      </c>
      <c r="AR131" s="267">
        <v>8</v>
      </c>
      <c r="AS131" s="267">
        <v>9</v>
      </c>
      <c r="AT131" s="267">
        <v>10</v>
      </c>
      <c r="AU131" s="267">
        <v>11</v>
      </c>
      <c r="AV131" s="267">
        <v>12</v>
      </c>
      <c r="AW131" s="267">
        <v>13</v>
      </c>
      <c r="AX131" s="45"/>
    </row>
    <row r="132" spans="3:50">
      <c r="C132" s="9" t="s">
        <v>392</v>
      </c>
      <c r="D132" s="145"/>
      <c r="E132" s="145"/>
      <c r="F132" s="145"/>
      <c r="G132" s="145"/>
      <c r="H132" s="145"/>
      <c r="I132" s="145"/>
      <c r="J132" s="145"/>
      <c r="K132" s="145"/>
      <c r="L132" s="145"/>
      <c r="M132" s="145"/>
      <c r="N132" s="145"/>
      <c r="O132" s="145"/>
      <c r="P132" s="145"/>
      <c r="Q132" s="145"/>
      <c r="R132" s="145"/>
      <c r="S132" s="145"/>
      <c r="T132" s="145"/>
      <c r="U132" s="265"/>
      <c r="AK132" s="46" t="s">
        <v>393</v>
      </c>
      <c r="AL132" s="2" t="s">
        <v>394</v>
      </c>
      <c r="AM132" s="2" t="s">
        <v>165</v>
      </c>
      <c r="AN132" s="2" t="s">
        <v>4</v>
      </c>
      <c r="AO132" s="2" t="s">
        <v>172</v>
      </c>
      <c r="AW132" s="2" t="s">
        <v>395</v>
      </c>
      <c r="AX132" s="47"/>
    </row>
    <row r="133" spans="3:50" ht="15">
      <c r="C133" s="9" t="s">
        <v>396</v>
      </c>
      <c r="D133" s="145"/>
      <c r="E133" s="145"/>
      <c r="F133" s="145"/>
      <c r="G133" s="145"/>
      <c r="H133" s="145"/>
      <c r="I133" s="145"/>
      <c r="J133" s="145"/>
      <c r="K133" s="145"/>
      <c r="L133" s="145"/>
      <c r="M133" s="145"/>
      <c r="N133" s="145"/>
      <c r="O133" s="145"/>
      <c r="P133" s="145"/>
      <c r="Q133" s="145"/>
      <c r="R133" s="145"/>
      <c r="S133" s="145"/>
      <c r="T133" s="145"/>
      <c r="U133" s="265"/>
      <c r="AK133" s="268" t="s">
        <v>188</v>
      </c>
      <c r="AL133" s="9"/>
      <c r="AM133" s="9"/>
      <c r="AN133" s="9"/>
      <c r="AW133" s="5" t="s">
        <v>397</v>
      </c>
      <c r="AX133" s="47"/>
    </row>
    <row r="134" spans="3:50">
      <c r="C134" s="9" t="s">
        <v>398</v>
      </c>
      <c r="D134" s="146"/>
      <c r="E134" s="146"/>
      <c r="F134" s="146"/>
      <c r="G134" s="146"/>
      <c r="H134" s="146"/>
      <c r="I134" s="146"/>
      <c r="J134" s="146"/>
      <c r="K134" s="146"/>
      <c r="L134" s="146"/>
      <c r="M134" s="146"/>
      <c r="N134" s="146"/>
      <c r="O134" s="146"/>
      <c r="P134" s="146"/>
      <c r="Q134" s="146"/>
      <c r="R134" s="146"/>
      <c r="S134" s="146"/>
      <c r="T134" s="146"/>
      <c r="AK134" s="268" t="s">
        <v>183</v>
      </c>
      <c r="AL134" s="9" t="s">
        <v>183</v>
      </c>
      <c r="AM134" s="9" t="s">
        <v>399</v>
      </c>
      <c r="AN134" s="9" t="s">
        <v>216</v>
      </c>
      <c r="AO134" s="269" t="s">
        <v>309</v>
      </c>
      <c r="AW134" s="9" t="s">
        <v>183</v>
      </c>
      <c r="AX134" s="47"/>
    </row>
    <row r="135" spans="3:50">
      <c r="C135" s="9" t="s">
        <v>400</v>
      </c>
      <c r="D135" s="146"/>
      <c r="E135" s="146"/>
      <c r="F135" s="146"/>
      <c r="G135" s="146"/>
      <c r="H135" s="146"/>
      <c r="I135" s="146"/>
      <c r="J135" s="146"/>
      <c r="K135" s="146"/>
      <c r="L135" s="146"/>
      <c r="M135" s="146"/>
      <c r="N135" s="146"/>
      <c r="O135" s="146"/>
      <c r="P135" s="146"/>
      <c r="Q135" s="146"/>
      <c r="R135" s="146"/>
      <c r="S135" s="146"/>
      <c r="T135" s="146"/>
      <c r="AK135" s="268" t="s">
        <v>185</v>
      </c>
      <c r="AL135" s="9" t="s">
        <v>185</v>
      </c>
      <c r="AM135" s="9" t="s">
        <v>401</v>
      </c>
      <c r="AN135" s="9" t="s">
        <v>220</v>
      </c>
      <c r="AO135" s="269" t="s">
        <v>309</v>
      </c>
      <c r="AR135" s="6" t="s">
        <v>402</v>
      </c>
      <c r="AW135" s="9" t="s">
        <v>185</v>
      </c>
      <c r="AX135" s="47"/>
    </row>
    <row r="136" spans="3:50">
      <c r="C136" s="9" t="s">
        <v>403</v>
      </c>
      <c r="D136" s="146"/>
      <c r="E136" s="146"/>
      <c r="F136" s="146"/>
      <c r="G136" s="146"/>
      <c r="H136" s="146"/>
      <c r="I136" s="146"/>
      <c r="J136" s="146"/>
      <c r="K136" s="146"/>
      <c r="L136" s="146"/>
      <c r="M136" s="146"/>
      <c r="N136" s="146"/>
      <c r="O136" s="146"/>
      <c r="P136" s="146"/>
      <c r="Q136" s="146"/>
      <c r="R136" s="146"/>
      <c r="S136" s="146"/>
      <c r="T136" s="146"/>
      <c r="AK136" s="268" t="s">
        <v>262</v>
      </c>
      <c r="AL136" s="9" t="s">
        <v>262</v>
      </c>
      <c r="AM136" s="9" t="s">
        <v>404</v>
      </c>
      <c r="AN136" s="9" t="s">
        <v>224</v>
      </c>
      <c r="AO136" s="269" t="s">
        <v>309</v>
      </c>
      <c r="AW136" s="9" t="s">
        <v>262</v>
      </c>
      <c r="AX136" s="47"/>
    </row>
    <row r="137" spans="3:50">
      <c r="C137" s="9" t="s">
        <v>405</v>
      </c>
      <c r="D137" s="146"/>
      <c r="E137" s="146"/>
      <c r="F137" s="146"/>
      <c r="G137" s="146"/>
      <c r="H137" s="146"/>
      <c r="I137" s="146"/>
      <c r="J137" s="146"/>
      <c r="K137" s="146"/>
      <c r="L137" s="146"/>
      <c r="M137" s="146"/>
      <c r="N137" s="146"/>
      <c r="O137" s="146"/>
      <c r="P137" s="146"/>
      <c r="Q137" s="146"/>
      <c r="R137" s="146"/>
      <c r="S137" s="146"/>
      <c r="T137" s="146"/>
      <c r="AK137" s="268" t="s">
        <v>279</v>
      </c>
      <c r="AL137" s="9" t="s">
        <v>279</v>
      </c>
      <c r="AM137" s="9" t="s">
        <v>406</v>
      </c>
      <c r="AN137" s="9" t="s">
        <v>230</v>
      </c>
      <c r="AO137" s="269"/>
      <c r="AQ137" s="2" t="s">
        <v>407</v>
      </c>
      <c r="AR137" s="2" t="s">
        <v>408</v>
      </c>
      <c r="AS137" s="2" t="s">
        <v>408</v>
      </c>
      <c r="AW137" s="9" t="s">
        <v>279</v>
      </c>
      <c r="AX137" s="47"/>
    </row>
    <row r="138" spans="3:50">
      <c r="C138" s="9" t="s">
        <v>409</v>
      </c>
      <c r="D138" s="146"/>
      <c r="E138" s="146"/>
      <c r="F138" s="146"/>
      <c r="G138" s="146"/>
      <c r="H138" s="146"/>
      <c r="I138" s="146"/>
      <c r="J138" s="146"/>
      <c r="K138" s="146"/>
      <c r="L138" s="146"/>
      <c r="M138" s="146"/>
      <c r="N138" s="146"/>
      <c r="O138" s="146"/>
      <c r="P138" s="146"/>
      <c r="Q138" s="146"/>
      <c r="R138" s="146"/>
      <c r="S138" s="146"/>
      <c r="T138" s="146"/>
      <c r="AK138" s="268" t="s">
        <v>267</v>
      </c>
      <c r="AL138" s="9" t="s">
        <v>267</v>
      </c>
      <c r="AM138" s="9" t="s">
        <v>410</v>
      </c>
      <c r="AN138" s="9" t="s">
        <v>241</v>
      </c>
      <c r="AO138" s="269" t="s">
        <v>309</v>
      </c>
      <c r="AW138" s="9" t="s">
        <v>267</v>
      </c>
      <c r="AX138" s="47"/>
    </row>
    <row r="139" spans="3:50">
      <c r="C139" s="9" t="s">
        <v>411</v>
      </c>
      <c r="D139" s="146"/>
      <c r="E139" s="146"/>
      <c r="F139" s="146"/>
      <c r="G139" s="146"/>
      <c r="H139" s="146"/>
      <c r="I139" s="146"/>
      <c r="J139" s="146"/>
      <c r="K139" s="146"/>
      <c r="L139" s="146"/>
      <c r="M139" s="146"/>
      <c r="N139" s="146"/>
      <c r="O139" s="146"/>
      <c r="P139" s="146"/>
      <c r="Q139" s="146"/>
      <c r="R139" s="146"/>
      <c r="S139" s="146"/>
      <c r="T139" s="146"/>
      <c r="AK139" s="268" t="s">
        <v>243</v>
      </c>
      <c r="AL139" s="9" t="s">
        <v>412</v>
      </c>
      <c r="AM139" s="9" t="s">
        <v>413</v>
      </c>
      <c r="AN139" s="9" t="s">
        <v>248</v>
      </c>
      <c r="AO139" s="269" t="s">
        <v>309</v>
      </c>
      <c r="AW139" s="9" t="s">
        <v>412</v>
      </c>
      <c r="AX139" s="47"/>
    </row>
    <row r="140" spans="3:50">
      <c r="C140" s="147" t="s">
        <v>391</v>
      </c>
      <c r="D140" s="146"/>
      <c r="E140" s="146"/>
      <c r="F140" s="146"/>
      <c r="G140" s="146"/>
      <c r="H140" s="146"/>
      <c r="I140" s="146"/>
      <c r="J140" s="146"/>
      <c r="K140" s="146"/>
      <c r="L140" s="146"/>
      <c r="M140" s="146"/>
      <c r="N140" s="146"/>
      <c r="O140" s="146"/>
      <c r="P140" s="146"/>
      <c r="Q140" s="146"/>
      <c r="R140" s="146"/>
      <c r="S140" s="146"/>
      <c r="T140" s="146"/>
      <c r="AK140" s="268" t="s">
        <v>254</v>
      </c>
      <c r="AL140" s="9"/>
      <c r="AM140" s="9" t="s">
        <v>414</v>
      </c>
      <c r="AN140" s="9" t="s">
        <v>252</v>
      </c>
      <c r="AO140" s="269" t="s">
        <v>309</v>
      </c>
      <c r="AW140" s="270" t="s">
        <v>185</v>
      </c>
      <c r="AX140" s="47"/>
    </row>
    <row r="141" spans="3:50">
      <c r="C141" s="147" t="s">
        <v>391</v>
      </c>
      <c r="D141" s="146"/>
      <c r="E141" s="146"/>
      <c r="F141" s="146"/>
      <c r="G141" s="146"/>
      <c r="H141" s="146"/>
      <c r="I141" s="146"/>
      <c r="J141" s="146"/>
      <c r="K141" s="146"/>
      <c r="L141" s="146"/>
      <c r="M141" s="146"/>
      <c r="N141" s="146"/>
      <c r="O141" s="146"/>
      <c r="P141" s="146"/>
      <c r="Q141" s="146"/>
      <c r="R141" s="146"/>
      <c r="S141" s="146"/>
      <c r="T141" s="146"/>
      <c r="AK141" s="268" t="s">
        <v>280</v>
      </c>
      <c r="AL141" s="9"/>
      <c r="AM141" s="9" t="s">
        <v>415</v>
      </c>
      <c r="AN141" s="9" t="s">
        <v>257</v>
      </c>
      <c r="AO141" s="269" t="s">
        <v>309</v>
      </c>
      <c r="AX141" s="47"/>
    </row>
    <row r="142" spans="3:50">
      <c r="C142" s="147" t="s">
        <v>391</v>
      </c>
      <c r="D142" s="146"/>
      <c r="E142" s="146"/>
      <c r="F142" s="146"/>
      <c r="G142" s="146"/>
      <c r="H142" s="146"/>
      <c r="I142" s="146"/>
      <c r="J142" s="146"/>
      <c r="K142" s="146"/>
      <c r="L142" s="146"/>
      <c r="M142" s="146"/>
      <c r="N142" s="146"/>
      <c r="O142" s="146"/>
      <c r="P142" s="146"/>
      <c r="Q142" s="146"/>
      <c r="R142" s="146"/>
      <c r="S142" s="146"/>
      <c r="T142" s="146"/>
      <c r="AK142" s="268" t="s">
        <v>272</v>
      </c>
      <c r="AL142" s="9"/>
      <c r="AM142" s="9" t="s">
        <v>416</v>
      </c>
      <c r="AN142" s="9" t="s">
        <v>260</v>
      </c>
      <c r="AO142" s="269" t="s">
        <v>309</v>
      </c>
      <c r="AW142" s="9" t="s">
        <v>185</v>
      </c>
      <c r="AX142" s="47"/>
    </row>
    <row r="143" spans="3:50" ht="15">
      <c r="C143" s="271" t="s">
        <v>417</v>
      </c>
      <c r="D143" s="271">
        <f t="shared" ref="D143:S143" si="44">SUM(D132:D142)</f>
        <v>0</v>
      </c>
      <c r="E143" s="271">
        <f t="shared" si="44"/>
        <v>0</v>
      </c>
      <c r="F143" s="271">
        <f t="shared" si="44"/>
        <v>0</v>
      </c>
      <c r="G143" s="271">
        <f t="shared" si="44"/>
        <v>0</v>
      </c>
      <c r="H143" s="271">
        <f t="shared" si="44"/>
        <v>0</v>
      </c>
      <c r="I143" s="271">
        <f t="shared" si="44"/>
        <v>0</v>
      </c>
      <c r="J143" s="271">
        <f t="shared" si="44"/>
        <v>0</v>
      </c>
      <c r="K143" s="271">
        <f t="shared" si="44"/>
        <v>0</v>
      </c>
      <c r="L143" s="271">
        <f t="shared" si="44"/>
        <v>0</v>
      </c>
      <c r="M143" s="271">
        <f t="shared" si="44"/>
        <v>0</v>
      </c>
      <c r="N143" s="271">
        <f t="shared" si="44"/>
        <v>0</v>
      </c>
      <c r="O143" s="271">
        <f t="shared" si="44"/>
        <v>0</v>
      </c>
      <c r="P143" s="271">
        <f t="shared" si="44"/>
        <v>0</v>
      </c>
      <c r="Q143" s="271">
        <f t="shared" si="44"/>
        <v>0</v>
      </c>
      <c r="R143" s="271">
        <f t="shared" si="44"/>
        <v>0</v>
      </c>
      <c r="S143" s="271">
        <f t="shared" si="44"/>
        <v>0</v>
      </c>
      <c r="T143" s="271">
        <f>SUM(T132:T142)</f>
        <v>0</v>
      </c>
      <c r="AK143" s="268" t="s">
        <v>276</v>
      </c>
      <c r="AL143" s="9" t="s">
        <v>418</v>
      </c>
      <c r="AM143" s="9" t="s">
        <v>419</v>
      </c>
      <c r="AN143" s="9" t="s">
        <v>230</v>
      </c>
      <c r="AO143" s="269"/>
      <c r="AQ143" s="2" t="s">
        <v>407</v>
      </c>
      <c r="AR143" s="2" t="s">
        <v>408</v>
      </c>
      <c r="AW143" s="9" t="s">
        <v>418</v>
      </c>
      <c r="AX143" s="47"/>
    </row>
    <row r="144" spans="3:50">
      <c r="I144" s="6"/>
      <c r="AK144" s="268" t="s">
        <v>286</v>
      </c>
      <c r="AL144" s="9" t="s">
        <v>418</v>
      </c>
      <c r="AM144" s="9" t="s">
        <v>420</v>
      </c>
      <c r="AN144" s="9" t="s">
        <v>230</v>
      </c>
      <c r="AO144" s="269"/>
      <c r="AQ144" s="2" t="s">
        <v>407</v>
      </c>
      <c r="AR144" s="2" t="s">
        <v>408</v>
      </c>
      <c r="AW144" s="9" t="s">
        <v>418</v>
      </c>
      <c r="AX144" s="47"/>
    </row>
    <row r="145" spans="3:50">
      <c r="AK145" s="268" t="s">
        <v>421</v>
      </c>
      <c r="AL145" s="9"/>
      <c r="AM145" s="9" t="s">
        <v>422</v>
      </c>
      <c r="AN145" s="9" t="s">
        <v>230</v>
      </c>
      <c r="AO145" s="269"/>
      <c r="AQ145" s="2" t="s">
        <v>407</v>
      </c>
      <c r="AR145" s="2" t="s">
        <v>408</v>
      </c>
      <c r="AW145" s="2" t="s">
        <v>423</v>
      </c>
      <c r="AX145" s="47"/>
    </row>
    <row r="146" spans="3:50" ht="15">
      <c r="C146" s="5" t="s">
        <v>424</v>
      </c>
      <c r="AK146" s="46"/>
      <c r="AX146" s="47"/>
    </row>
    <row r="147" spans="3:50" ht="128.25">
      <c r="C147" s="11" t="s">
        <v>386</v>
      </c>
      <c r="D147" s="264" t="s">
        <v>347</v>
      </c>
      <c r="E147" s="264" t="s">
        <v>387</v>
      </c>
      <c r="F147" s="264" t="s">
        <v>388</v>
      </c>
      <c r="G147" s="264" t="s">
        <v>177</v>
      </c>
      <c r="H147" s="264" t="s">
        <v>354</v>
      </c>
      <c r="I147" s="264" t="s">
        <v>355</v>
      </c>
      <c r="J147" s="264" t="s">
        <v>356</v>
      </c>
      <c r="K147" s="264" t="s">
        <v>357</v>
      </c>
      <c r="L147" s="264" t="s">
        <v>361</v>
      </c>
      <c r="M147" s="264" t="s">
        <v>635</v>
      </c>
      <c r="N147" s="264" t="s">
        <v>389</v>
      </c>
      <c r="O147" s="264" t="s">
        <v>366</v>
      </c>
      <c r="P147" s="264" t="s">
        <v>180</v>
      </c>
      <c r="Q147" s="264" t="s">
        <v>390</v>
      </c>
      <c r="R147" s="148" t="s">
        <v>391</v>
      </c>
      <c r="S147" s="148" t="s">
        <v>391</v>
      </c>
      <c r="T147" s="148" t="s">
        <v>391</v>
      </c>
      <c r="AK147" s="46" t="str">
        <f>AK133</f>
        <v>Velg arealtype</v>
      </c>
      <c r="AX147" s="47"/>
    </row>
    <row r="148" spans="3:50">
      <c r="C148" s="9" t="s">
        <v>392</v>
      </c>
      <c r="D148" s="145"/>
      <c r="E148" s="145"/>
      <c r="F148" s="145"/>
      <c r="G148" s="145"/>
      <c r="H148" s="145"/>
      <c r="I148" s="145"/>
      <c r="J148" s="145"/>
      <c r="K148" s="145"/>
      <c r="L148" s="145"/>
      <c r="M148" s="145"/>
      <c r="N148" s="145"/>
      <c r="O148" s="145"/>
      <c r="P148" s="145"/>
      <c r="Q148" s="145"/>
      <c r="R148" s="145"/>
      <c r="S148" s="145"/>
      <c r="T148" s="145"/>
      <c r="AK148" s="268" t="s">
        <v>150</v>
      </c>
      <c r="AL148" s="9" t="s">
        <v>425</v>
      </c>
      <c r="AM148" s="9" t="s">
        <v>426</v>
      </c>
      <c r="AN148" s="9" t="s">
        <v>230</v>
      </c>
      <c r="AO148" s="269"/>
      <c r="AQ148" s="2" t="s">
        <v>407</v>
      </c>
      <c r="AR148" s="2" t="s">
        <v>408</v>
      </c>
      <c r="AW148" s="9" t="s">
        <v>425</v>
      </c>
      <c r="AX148" s="47"/>
    </row>
    <row r="149" spans="3:50">
      <c r="C149" s="9" t="s">
        <v>396</v>
      </c>
      <c r="D149" s="145"/>
      <c r="E149" s="145"/>
      <c r="F149" s="145"/>
      <c r="G149" s="145"/>
      <c r="H149" s="145"/>
      <c r="I149" s="145"/>
      <c r="J149" s="145"/>
      <c r="K149" s="145"/>
      <c r="L149" s="145"/>
      <c r="M149" s="145"/>
      <c r="N149" s="145"/>
      <c r="O149" s="145"/>
      <c r="P149" s="145"/>
      <c r="Q149" s="145"/>
      <c r="R149" s="145"/>
      <c r="S149" s="145"/>
      <c r="T149" s="145"/>
      <c r="AK149" s="268" t="s">
        <v>148</v>
      </c>
      <c r="AL149" s="9" t="s">
        <v>427</v>
      </c>
      <c r="AM149" s="9" t="s">
        <v>428</v>
      </c>
      <c r="AN149" s="9" t="s">
        <v>266</v>
      </c>
      <c r="AO149" s="269" t="s">
        <v>309</v>
      </c>
      <c r="AW149" s="9" t="s">
        <v>427</v>
      </c>
      <c r="AX149" s="47"/>
    </row>
    <row r="150" spans="3:50">
      <c r="C150" s="9" t="s">
        <v>398</v>
      </c>
      <c r="D150" s="146"/>
      <c r="E150" s="146"/>
      <c r="F150" s="146"/>
      <c r="G150" s="146"/>
      <c r="H150" s="146"/>
      <c r="I150" s="146"/>
      <c r="J150" s="146"/>
      <c r="K150" s="146"/>
      <c r="L150" s="146"/>
      <c r="M150" s="146"/>
      <c r="N150" s="146"/>
      <c r="O150" s="146"/>
      <c r="P150" s="146"/>
      <c r="Q150" s="146"/>
      <c r="R150" s="146"/>
      <c r="S150" s="146"/>
      <c r="T150" s="146"/>
      <c r="AK150" s="268"/>
      <c r="AL150" s="9"/>
      <c r="AM150" s="9"/>
      <c r="AN150" s="9"/>
      <c r="AX150" s="47"/>
    </row>
    <row r="151" spans="3:50" ht="15" thickBot="1">
      <c r="C151" s="9" t="s">
        <v>400</v>
      </c>
      <c r="D151" s="146"/>
      <c r="E151" s="146"/>
      <c r="F151" s="146"/>
      <c r="G151" s="146"/>
      <c r="H151" s="146"/>
      <c r="I151" s="146"/>
      <c r="J151" s="146"/>
      <c r="K151" s="146"/>
      <c r="L151" s="146"/>
      <c r="M151" s="146"/>
      <c r="N151" s="146"/>
      <c r="O151" s="146"/>
      <c r="P151" s="146"/>
      <c r="Q151" s="146"/>
      <c r="R151" s="146"/>
      <c r="S151" s="146"/>
      <c r="T151" s="146"/>
      <c r="AK151" s="272" t="s">
        <v>429</v>
      </c>
      <c r="AL151" s="273"/>
      <c r="AM151" s="273"/>
      <c r="AN151" s="273"/>
      <c r="AO151" s="49"/>
      <c r="AP151" s="49"/>
      <c r="AQ151" s="49"/>
      <c r="AR151" s="49"/>
      <c r="AS151" s="49"/>
      <c r="AT151" s="49"/>
      <c r="AU151" s="49"/>
      <c r="AV151" s="49"/>
      <c r="AW151" s="49"/>
      <c r="AX151" s="50"/>
    </row>
    <row r="152" spans="3:50">
      <c r="C152" s="9" t="s">
        <v>403</v>
      </c>
      <c r="D152" s="146"/>
      <c r="E152" s="146"/>
      <c r="F152" s="146"/>
      <c r="G152" s="146"/>
      <c r="H152" s="146"/>
      <c r="I152" s="146"/>
      <c r="J152" s="146"/>
      <c r="K152" s="146"/>
      <c r="L152" s="146"/>
      <c r="M152" s="146"/>
      <c r="N152" s="146"/>
      <c r="O152" s="146"/>
      <c r="P152" s="146"/>
      <c r="Q152" s="146"/>
      <c r="R152" s="146"/>
      <c r="S152" s="146"/>
      <c r="T152" s="146"/>
    </row>
    <row r="153" spans="3:50">
      <c r="C153" s="9" t="s">
        <v>405</v>
      </c>
      <c r="D153" s="146"/>
      <c r="E153" s="146"/>
      <c r="F153" s="146"/>
      <c r="G153" s="146"/>
      <c r="H153" s="146"/>
      <c r="I153" s="146"/>
      <c r="J153" s="146"/>
      <c r="K153" s="146"/>
      <c r="L153" s="146"/>
      <c r="M153" s="146"/>
      <c r="N153" s="146"/>
      <c r="O153" s="146"/>
      <c r="P153" s="146"/>
      <c r="Q153" s="146"/>
      <c r="R153" s="146"/>
      <c r="S153" s="146"/>
      <c r="T153" s="146"/>
    </row>
    <row r="154" spans="3:50">
      <c r="C154" s="9" t="s">
        <v>409</v>
      </c>
      <c r="D154" s="146"/>
      <c r="E154" s="146"/>
      <c r="F154" s="146"/>
      <c r="G154" s="146"/>
      <c r="H154" s="146"/>
      <c r="I154" s="146"/>
      <c r="J154" s="146"/>
      <c r="K154" s="146"/>
      <c r="L154" s="146"/>
      <c r="M154" s="146"/>
      <c r="N154" s="146"/>
      <c r="O154" s="146"/>
      <c r="P154" s="146"/>
      <c r="Q154" s="146"/>
      <c r="R154" s="146"/>
      <c r="S154" s="146"/>
      <c r="T154" s="146"/>
    </row>
    <row r="155" spans="3:50">
      <c r="C155" s="9" t="s">
        <v>411</v>
      </c>
      <c r="D155" s="146"/>
      <c r="E155" s="146"/>
      <c r="F155" s="146"/>
      <c r="G155" s="146"/>
      <c r="H155" s="146"/>
      <c r="I155" s="146"/>
      <c r="J155" s="146"/>
      <c r="K155" s="146"/>
      <c r="L155" s="146"/>
      <c r="M155" s="146"/>
      <c r="N155" s="146"/>
      <c r="O155" s="146"/>
      <c r="P155" s="146"/>
      <c r="Q155" s="146"/>
      <c r="R155" s="146"/>
      <c r="S155" s="146"/>
      <c r="T155" s="146"/>
    </row>
    <row r="156" spans="3:50">
      <c r="C156" s="147" t="s">
        <v>391</v>
      </c>
      <c r="D156" s="146"/>
      <c r="E156" s="146"/>
      <c r="F156" s="146"/>
      <c r="G156" s="146"/>
      <c r="H156" s="146"/>
      <c r="I156" s="146"/>
      <c r="J156" s="146"/>
      <c r="K156" s="146"/>
      <c r="L156" s="146"/>
      <c r="M156" s="146"/>
      <c r="N156" s="146"/>
      <c r="O156" s="146"/>
      <c r="P156" s="146"/>
      <c r="Q156" s="146"/>
      <c r="R156" s="146"/>
      <c r="S156" s="146"/>
      <c r="T156" s="146"/>
    </row>
    <row r="157" spans="3:50">
      <c r="C157" s="147" t="s">
        <v>391</v>
      </c>
      <c r="D157" s="146"/>
      <c r="E157" s="146"/>
      <c r="F157" s="146"/>
      <c r="G157" s="146"/>
      <c r="H157" s="146"/>
      <c r="I157" s="146"/>
      <c r="J157" s="146"/>
      <c r="K157" s="146"/>
      <c r="L157" s="146"/>
      <c r="M157" s="146"/>
      <c r="N157" s="146"/>
      <c r="O157" s="146"/>
      <c r="P157" s="146"/>
      <c r="Q157" s="146"/>
      <c r="R157" s="146"/>
      <c r="S157" s="146"/>
      <c r="T157" s="146"/>
    </row>
    <row r="158" spans="3:50">
      <c r="C158" s="147" t="s">
        <v>391</v>
      </c>
      <c r="D158" s="146"/>
      <c r="E158" s="146"/>
      <c r="F158" s="146"/>
      <c r="G158" s="146"/>
      <c r="H158" s="146"/>
      <c r="I158" s="146"/>
      <c r="J158" s="146"/>
      <c r="K158" s="146"/>
      <c r="L158" s="146"/>
      <c r="M158" s="146"/>
      <c r="N158" s="146"/>
      <c r="O158" s="146"/>
      <c r="P158" s="146"/>
      <c r="Q158" s="146"/>
      <c r="R158" s="146"/>
      <c r="S158" s="146"/>
      <c r="T158" s="146"/>
    </row>
    <row r="159" spans="3:50" ht="15">
      <c r="C159" s="271" t="s">
        <v>417</v>
      </c>
      <c r="D159" s="271">
        <f t="shared" ref="D159" si="45">SUM(D148:D158)</f>
        <v>0</v>
      </c>
      <c r="E159" s="271">
        <f t="shared" ref="E159" si="46">SUM(E148:E158)</f>
        <v>0</v>
      </c>
      <c r="F159" s="271">
        <f t="shared" ref="F159" si="47">SUM(F148:F158)</f>
        <v>0</v>
      </c>
      <c r="G159" s="271">
        <f t="shared" ref="G159" si="48">SUM(G148:G158)</f>
        <v>0</v>
      </c>
      <c r="H159" s="271">
        <f t="shared" ref="H159" si="49">SUM(H148:H158)</f>
        <v>0</v>
      </c>
      <c r="I159" s="271">
        <f t="shared" ref="I159" si="50">SUM(I148:I158)</f>
        <v>0</v>
      </c>
      <c r="J159" s="271">
        <f t="shared" ref="J159" si="51">SUM(J148:J158)</f>
        <v>0</v>
      </c>
      <c r="K159" s="271">
        <f t="shared" ref="K159" si="52">SUM(K148:K158)</f>
        <v>0</v>
      </c>
      <c r="L159" s="271">
        <f t="shared" ref="L159" si="53">SUM(L148:L158)</f>
        <v>0</v>
      </c>
      <c r="M159" s="271">
        <f t="shared" ref="M159" si="54">SUM(M148:M158)</f>
        <v>0</v>
      </c>
      <c r="N159" s="271">
        <f t="shared" ref="N159" si="55">SUM(N148:N158)</f>
        <v>0</v>
      </c>
      <c r="O159" s="271">
        <f t="shared" ref="O159" si="56">SUM(O148:O158)</f>
        <v>0</v>
      </c>
      <c r="P159" s="271">
        <f t="shared" ref="P159" si="57">SUM(P148:P158)</f>
        <v>0</v>
      </c>
      <c r="Q159" s="271">
        <f t="shared" ref="Q159" si="58">SUM(Q148:Q158)</f>
        <v>0</v>
      </c>
      <c r="R159" s="271">
        <f t="shared" ref="R159" si="59">SUM(R148:R158)</f>
        <v>0</v>
      </c>
      <c r="S159" s="271">
        <f t="shared" ref="S159" si="60">SUM(S148:S158)</f>
        <v>0</v>
      </c>
      <c r="T159" s="271">
        <f>SUM(T148:T158)</f>
        <v>0</v>
      </c>
    </row>
  </sheetData>
  <sheetProtection algorithmName="SHA-512" hashValue="T1OMB5TADlMlrdReQH+8LBrRTfST6ZfxqvtN2S4r4QOj6QuITRndOxIXyPGcjI5Udy99081TLqPsv6njwDws4g==" saltValue="9o1CM7+i/XV3DyS4m/rU7g==" spinCount="100000" sheet="1" objects="1" scenarios="1"/>
  <mergeCells count="95">
    <mergeCell ref="BF17:BJ17"/>
    <mergeCell ref="V1:BB1"/>
    <mergeCell ref="D99:E99"/>
    <mergeCell ref="G97:H97"/>
    <mergeCell ref="G98:H98"/>
    <mergeCell ref="G99:H99"/>
    <mergeCell ref="D87:F87"/>
    <mergeCell ref="D88:F88"/>
    <mergeCell ref="D98:E98"/>
    <mergeCell ref="AS17:AW17"/>
    <mergeCell ref="AX17:BB17"/>
    <mergeCell ref="AN16:BB16"/>
    <mergeCell ref="AO36:AT36"/>
    <mergeCell ref="V65:Z65"/>
    <mergeCell ref="E26:F26"/>
    <mergeCell ref="G26:H26"/>
    <mergeCell ref="L17:N17"/>
    <mergeCell ref="AG17:AK17"/>
    <mergeCell ref="AN17:AR17"/>
    <mergeCell ref="C7:O7"/>
    <mergeCell ref="K17:K18"/>
    <mergeCell ref="D8:O8"/>
    <mergeCell ref="D9:O9"/>
    <mergeCell ref="D10:O10"/>
    <mergeCell ref="D11:O11"/>
    <mergeCell ref="AN15:BB15"/>
    <mergeCell ref="E25:F25"/>
    <mergeCell ref="G25:H25"/>
    <mergeCell ref="I25:J25"/>
    <mergeCell ref="E17:F17"/>
    <mergeCell ref="G17:H17"/>
    <mergeCell ref="I17:J17"/>
    <mergeCell ref="D85:F85"/>
    <mergeCell ref="H50:J50"/>
    <mergeCell ref="H51:J51"/>
    <mergeCell ref="G34:J34"/>
    <mergeCell ref="G35:J35"/>
    <mergeCell ref="G36:J36"/>
    <mergeCell ref="G38:J38"/>
    <mergeCell ref="G39:J39"/>
    <mergeCell ref="F44:J44"/>
    <mergeCell ref="D86:F86"/>
    <mergeCell ref="D90:F90"/>
    <mergeCell ref="I87:L87"/>
    <mergeCell ref="I88:L88"/>
    <mergeCell ref="I89:L89"/>
    <mergeCell ref="I90:L90"/>
    <mergeCell ref="I98:L98"/>
    <mergeCell ref="I99:L99"/>
    <mergeCell ref="C100:L103"/>
    <mergeCell ref="D48:D49"/>
    <mergeCell ref="E48:E49"/>
    <mergeCell ref="F48:F49"/>
    <mergeCell ref="G48:G49"/>
    <mergeCell ref="H48:J49"/>
    <mergeCell ref="C96:C97"/>
    <mergeCell ref="D96:H96"/>
    <mergeCell ref="I83:L83"/>
    <mergeCell ref="I84:L84"/>
    <mergeCell ref="I85:L85"/>
    <mergeCell ref="I86:L86"/>
    <mergeCell ref="I93:L93"/>
    <mergeCell ref="C78:C79"/>
    <mergeCell ref="I92:L92"/>
    <mergeCell ref="G30:J30"/>
    <mergeCell ref="E27:F27"/>
    <mergeCell ref="G27:H27"/>
    <mergeCell ref="I27:J27"/>
    <mergeCell ref="G31:J31"/>
    <mergeCell ref="G32:J32"/>
    <mergeCell ref="H78:H79"/>
    <mergeCell ref="I81:L81"/>
    <mergeCell ref="I82:L82"/>
    <mergeCell ref="I80:L80"/>
    <mergeCell ref="I91:L91"/>
    <mergeCell ref="G67:J67"/>
    <mergeCell ref="G68:J68"/>
    <mergeCell ref="G69:J69"/>
    <mergeCell ref="D78:G78"/>
    <mergeCell ref="BD15:BO15"/>
    <mergeCell ref="D109:F109"/>
    <mergeCell ref="D114:F114"/>
    <mergeCell ref="F65:J65"/>
    <mergeCell ref="F66:J66"/>
    <mergeCell ref="G37:J37"/>
    <mergeCell ref="H87:H88"/>
    <mergeCell ref="F60:J60"/>
    <mergeCell ref="F61:J61"/>
    <mergeCell ref="F62:J62"/>
    <mergeCell ref="F63:J63"/>
    <mergeCell ref="F64:J64"/>
    <mergeCell ref="F57:J57"/>
    <mergeCell ref="F56:J56"/>
    <mergeCell ref="F55:J55"/>
    <mergeCell ref="F54:J54"/>
  </mergeCells>
  <conditionalFormatting sqref="C44:F44 C43:J43 C45:C46">
    <cfRule type="expression" dxfId="155" priority="45">
      <formula>$V$46=0</formula>
    </cfRule>
  </conditionalFormatting>
  <conditionalFormatting sqref="C29:J30">
    <cfRule type="expression" dxfId="154" priority="70">
      <formula>$V$40=0</formula>
    </cfRule>
  </conditionalFormatting>
  <conditionalFormatting sqref="C130:T159">
    <cfRule type="expression" dxfId="153" priority="3">
      <formula>$D$128=$AA$126</formula>
    </cfRule>
  </conditionalFormatting>
  <conditionalFormatting sqref="D80:D91">
    <cfRule type="expression" dxfId="152" priority="81">
      <formula>$V$29=0</formula>
    </cfRule>
  </conditionalFormatting>
  <conditionalFormatting sqref="D81">
    <cfRule type="expression" dxfId="151" priority="2">
      <formula>$E$25+$E$26=0</formula>
    </cfRule>
  </conditionalFormatting>
  <conditionalFormatting sqref="D92">
    <cfRule type="expression" dxfId="150" priority="5">
      <formula>$D$92=0</formula>
    </cfRule>
    <cfRule type="expression" dxfId="149" priority="90">
      <formula>$E$44&lt;&gt;Nei</formula>
    </cfRule>
  </conditionalFormatting>
  <conditionalFormatting sqref="D85:F88 D90:F90">
    <cfRule type="expression" dxfId="148" priority="9">
      <formula>$V$32&gt;0</formula>
    </cfRule>
  </conditionalFormatting>
  <conditionalFormatting sqref="D86:F86">
    <cfRule type="expression" dxfId="147" priority="8">
      <formula>$D$86=0</formula>
    </cfRule>
  </conditionalFormatting>
  <conditionalFormatting sqref="D87:F87">
    <cfRule type="expression" dxfId="146" priority="7">
      <formula>$D$87=0</formula>
    </cfRule>
  </conditionalFormatting>
  <conditionalFormatting sqref="D88:F88">
    <cfRule type="expression" dxfId="145" priority="6">
      <formula>$D$88=0</formula>
    </cfRule>
  </conditionalFormatting>
  <conditionalFormatting sqref="D90:F90">
    <cfRule type="expression" dxfId="144" priority="1">
      <formula>$D$90=0</formula>
    </cfRule>
  </conditionalFormatting>
  <conditionalFormatting sqref="E37">
    <cfRule type="expression" dxfId="143" priority="10">
      <formula>$E$36=""</formula>
    </cfRule>
    <cfRule type="expression" dxfId="142" priority="11">
      <formula>$E$36=0</formula>
    </cfRule>
  </conditionalFormatting>
  <conditionalFormatting sqref="E80:E84 E89 E91">
    <cfRule type="expression" dxfId="141" priority="82">
      <formula>$W$29=0</formula>
    </cfRule>
  </conditionalFormatting>
  <conditionalFormatting sqref="E25:F26">
    <cfRule type="expression" dxfId="140" priority="75">
      <formula>$V$29=0</formula>
    </cfRule>
    <cfRule type="expression" dxfId="139" priority="76">
      <formula>$V$29&gt;0</formula>
    </cfRule>
  </conditionalFormatting>
  <conditionalFormatting sqref="E19:J24">
    <cfRule type="expression" dxfId="138" priority="40">
      <formula>$W19=0</formula>
    </cfRule>
    <cfRule type="expression" dxfId="137" priority="41">
      <formula>$W19=1</formula>
    </cfRule>
  </conditionalFormatting>
  <conditionalFormatting sqref="F82:F84 F89 F91">
    <cfRule type="expression" dxfId="136" priority="85">
      <formula>$V$30=0</formula>
    </cfRule>
  </conditionalFormatting>
  <conditionalFormatting sqref="F44:J44">
    <cfRule type="expression" dxfId="135" priority="16">
      <formula>$V$46=0</formula>
    </cfRule>
  </conditionalFormatting>
  <conditionalFormatting sqref="G25:H26">
    <cfRule type="expression" dxfId="134" priority="77">
      <formula>$W$29=0</formula>
    </cfRule>
    <cfRule type="expression" dxfId="133" priority="78">
      <formula>$W$29&gt;0</formula>
    </cfRule>
  </conditionalFormatting>
  <conditionalFormatting sqref="G27:H27">
    <cfRule type="expression" dxfId="132" priority="88">
      <formula>$W$29&gt;0</formula>
    </cfRule>
  </conditionalFormatting>
  <conditionalFormatting sqref="H85">
    <cfRule type="iconSet" priority="26">
      <iconSet>
        <cfvo type="percent" val="0"/>
        <cfvo type="percent" val="33"/>
        <cfvo type="percent" val="67"/>
      </iconSet>
    </cfRule>
  </conditionalFormatting>
  <conditionalFormatting sqref="I27:J27">
    <cfRule type="expression" dxfId="131" priority="79">
      <formula>$X$29=0</formula>
    </cfRule>
    <cfRule type="expression" dxfId="130" priority="80">
      <formula>$X$29&gt;0</formula>
    </cfRule>
  </conditionalFormatting>
  <conditionalFormatting sqref="K19:K24">
    <cfRule type="expression" dxfId="129" priority="61">
      <formula>V19=1</formula>
    </cfRule>
  </conditionalFormatting>
  <conditionalFormatting sqref="M19:N24">
    <cfRule type="expression" dxfId="128" priority="53">
      <formula>$X19=0</formula>
    </cfRule>
    <cfRule type="expression" dxfId="127" priority="55">
      <formula>$X19=1</formula>
    </cfRule>
  </conditionalFormatting>
  <conditionalFormatting sqref="N19:N24">
    <cfRule type="expression" dxfId="126" priority="46">
      <formula>$L19&lt;&gt;""</formula>
    </cfRule>
  </conditionalFormatting>
  <conditionalFormatting sqref="AB4:AC4">
    <cfRule type="expression" dxfId="125" priority="4">
      <formula>$Z$11=0</formula>
    </cfRule>
  </conditionalFormatting>
  <dataValidations count="7">
    <dataValidation type="whole" operator="lessThan" allowBlank="1" showInputMessage="1" showErrorMessage="1" error="Oppgi produsert strøm fra solceller som negativt tall" sqref="E39" xr:uid="{5ED009E0-4222-4BF4-B65E-85E82C6CB7B0}">
      <formula1>1</formula1>
    </dataValidation>
    <dataValidation type="list" allowBlank="1" showInputMessage="1" showErrorMessage="1" sqref="E44" xr:uid="{A4BBDF41-9A04-446B-8124-249B50E946F5}">
      <formula1>$AA$45:$AA$47</formula1>
    </dataValidation>
    <dataValidation type="list" allowBlank="1" showInputMessage="1" showErrorMessage="1" sqref="D41" xr:uid="{8F556578-1BC7-4634-AD28-6772C401C4C3}">
      <formula1>$AA$40:$AA$42</formula1>
    </dataValidation>
    <dataValidation type="list" allowBlank="1" showInputMessage="1" showErrorMessage="1" sqref="G50:G51" xr:uid="{66C572F5-7837-442F-9DA1-A46FC41A0E16}">
      <formula1>$V$53:$V$56</formula1>
    </dataValidation>
    <dataValidation type="list" allowBlank="1" showInputMessage="1" showErrorMessage="1" sqref="D23:D24" xr:uid="{DE322309-D133-4E3C-A527-72D7599A0885}">
      <formula1>$AK$147:$AK$149</formula1>
    </dataValidation>
    <dataValidation type="list" allowBlank="1" showInputMessage="1" showErrorMessage="1" sqref="D19:D22" xr:uid="{D673F873-C48A-49F3-9BCF-B869381C0A8B}">
      <formula1>$AK$133:$AK$145</formula1>
    </dataValidation>
    <dataValidation type="list" allowBlank="1" showInputMessage="1" showErrorMessage="1" sqref="D128" xr:uid="{4665A334-2627-4CF2-A295-F5B12AC9BC50}">
      <formula1>$AA$125:$AA$126</formula1>
    </dataValidation>
  </dataValidations>
  <pageMargins left="0.7" right="0.7" top="0.75" bottom="0.75" header="0.3" footer="0.3"/>
  <pageSetup paperSize="9" scale="39" fitToHeight="0" orientation="landscape" verticalDpi="0" r:id="rId1"/>
  <rowBreaks count="2" manualBreakCount="2">
    <brk id="75" max="16383" man="1"/>
    <brk id="126"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37" id="{443E9876-C513-476B-806A-7A4699A4F32E}">
            <x14:iconSet custom="1">
              <x14:cfvo type="percent">
                <xm:f>0</xm:f>
              </x14:cfvo>
              <x14:cfvo type="num">
                <xm:f>0.09</xm:f>
              </x14:cfvo>
              <x14:cfvo type="num">
                <xm:f>0.11</xm:f>
              </x14:cfvo>
              <x14:cfIcon iconSet="3TrafficLights1" iconId="1"/>
              <x14:cfIcon iconSet="3TrafficLights1" iconId="2"/>
              <x14:cfIcon iconSet="3TrafficLights1" iconId="0"/>
            </x14:iconSet>
          </x14:cfRule>
          <xm:sqref>H80</xm:sqref>
        </x14:conditionalFormatting>
        <x14:conditionalFormatting xmlns:xm="http://schemas.microsoft.com/office/excel/2006/main">
          <x14:cfRule type="iconSet" priority="23" id="{DE35AE94-9AC1-488F-8FCA-19B4C08CEC76}">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H81</xm:sqref>
        </x14:conditionalFormatting>
        <x14:conditionalFormatting xmlns:xm="http://schemas.microsoft.com/office/excel/2006/main">
          <x14:cfRule type="iconSet" priority="25" id="{F68F1791-E4A4-4F65-B648-BB30531AC54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22" id="{1349469B-1F68-4E32-ABB3-106DF1EE763B}">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H83</xm:sqref>
        </x14:conditionalFormatting>
        <x14:conditionalFormatting xmlns:xm="http://schemas.microsoft.com/office/excel/2006/main">
          <x14:cfRule type="iconSet" priority="21" id="{393963D6-4B1F-48BA-9BC9-D420B17100F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27" id="{2AE20712-0E76-4CD6-ADB5-AF2266C575D6}">
            <x14:iconSet custom="1">
              <x14:cfvo type="percent">
                <xm:f>0</xm:f>
              </x14:cfvo>
              <x14:cfvo type="num">
                <xm:f>0.9</xm:f>
              </x14:cfvo>
              <x14:cfvo type="num">
                <xm:f>1.1000000000000001</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28" id="{00000000-000E-0000-0400-00000C000000}">
            <x14:iconSet custom="1">
              <x14:cfvo type="percent">
                <xm:f>0</xm:f>
              </x14:cfvo>
              <x14:cfvo type="num">
                <xm:f>0</xm:f>
              </x14:cfvo>
              <x14:cfvo type="num" gte="0">
                <xm:f>0</xm:f>
              </x14:cfvo>
              <x14:cfIcon iconSet="3TrafficLights1" iconId="2"/>
              <x14:cfIcon iconSet="3TrafficLights1" iconId="1"/>
              <x14:cfIcon iconSet="3TrafficLights1" iconId="0"/>
            </x14:iconSet>
          </x14:cfRule>
          <xm:sqref>H87</xm:sqref>
        </x14:conditionalFormatting>
        <x14:conditionalFormatting xmlns:xm="http://schemas.microsoft.com/office/excel/2006/main">
          <x14:cfRule type="iconSet" priority="20" id="{C047CEE9-5C5A-41C0-ADC6-FACF9482D48A}">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H89</xm:sqref>
        </x14:conditionalFormatting>
        <x14:conditionalFormatting xmlns:xm="http://schemas.microsoft.com/office/excel/2006/main">
          <x14:cfRule type="iconSet" priority="19" id="{A5282AC9-7289-4055-B208-8D27B3A7FAE8}">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8" id="{41D6E2E9-EC81-4409-B746-EE9ED7E7C7AA}">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H91</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016-A387-4D6B-8546-20E5DF7DCA28}">
  <sheetPr>
    <pageSetUpPr fitToPage="1"/>
  </sheetPr>
  <dimension ref="C1:BP159"/>
  <sheetViews>
    <sheetView showGridLines="0" zoomScaleNormal="100" workbookViewId="0">
      <selection activeCell="D98" sqref="D98:E98"/>
    </sheetView>
  </sheetViews>
  <sheetFormatPr defaultColWidth="9.140625" defaultRowHeight="14.25"/>
  <cols>
    <col min="1" max="1" width="1.7109375" style="2" customWidth="1"/>
    <col min="2" max="2" width="1" style="2" customWidth="1"/>
    <col min="3" max="3" width="64.85546875" style="2" customWidth="1"/>
    <col min="4" max="4" width="35.140625" style="2" customWidth="1"/>
    <col min="5" max="5" width="18.7109375" style="2" customWidth="1"/>
    <col min="6" max="6" width="17.42578125" style="2" customWidth="1"/>
    <col min="7" max="7" width="16.5703125" style="2" bestFit="1" customWidth="1"/>
    <col min="8" max="8" width="15.5703125" style="2" customWidth="1"/>
    <col min="9" max="9" width="15.140625" style="2" bestFit="1" customWidth="1"/>
    <col min="10" max="10" width="6.140625" style="2" customWidth="1"/>
    <col min="11" max="11" width="11.42578125" style="2" customWidth="1"/>
    <col min="12" max="12" width="30.85546875" style="2" customWidth="1"/>
    <col min="13" max="13" width="6.28515625" style="2" bestFit="1" customWidth="1"/>
    <col min="14" max="14" width="6.140625" style="2" bestFit="1" customWidth="1"/>
    <col min="15" max="15" width="27.42578125" style="2" customWidth="1"/>
    <col min="16" max="16" width="17.42578125" style="2" customWidth="1"/>
    <col min="17" max="17" width="13.85546875" style="2" customWidth="1"/>
    <col min="18" max="18" width="14.7109375" style="2" customWidth="1"/>
    <col min="19" max="20" width="9.140625" style="2" customWidth="1"/>
    <col min="21" max="21" width="3.140625" style="2" hidden="1" customWidth="1"/>
    <col min="22" max="22" width="25" style="2" hidden="1" customWidth="1"/>
    <col min="23" max="23" width="9.140625" style="2" hidden="1" customWidth="1"/>
    <col min="24" max="24" width="13" style="2" hidden="1" customWidth="1"/>
    <col min="25" max="25" width="9.140625" style="2" hidden="1" customWidth="1"/>
    <col min="26" max="26" width="14.42578125" style="2" hidden="1" customWidth="1"/>
    <col min="27" max="27" width="22.85546875" style="2" hidden="1" customWidth="1"/>
    <col min="28" max="30" width="9.140625" style="2" hidden="1" customWidth="1"/>
    <col min="31" max="31" width="29.28515625" style="2" hidden="1" customWidth="1"/>
    <col min="32" max="32" width="31.85546875" style="2" hidden="1" customWidth="1"/>
    <col min="33" max="33" width="32.28515625" style="2" hidden="1" customWidth="1"/>
    <col min="34" max="34" width="18.85546875" style="2" hidden="1" customWidth="1"/>
    <col min="35" max="35" width="37.7109375" style="2" hidden="1" customWidth="1"/>
    <col min="36" max="36" width="9.140625" style="2" hidden="1" customWidth="1"/>
    <col min="37" max="37" width="34.7109375" style="2" hidden="1" customWidth="1"/>
    <col min="38" max="38" width="25.140625" style="2" hidden="1" customWidth="1"/>
    <col min="39" max="39" width="23.85546875" style="2" hidden="1" customWidth="1"/>
    <col min="40" max="40" width="35" style="2" hidden="1" customWidth="1"/>
    <col min="41" max="41" width="20.42578125" style="2" hidden="1" customWidth="1"/>
    <col min="42" max="42" width="9.140625" style="2" hidden="1" customWidth="1"/>
    <col min="43" max="43" width="20.85546875" style="2" hidden="1" customWidth="1"/>
    <col min="44" max="44" width="9.140625" style="2" hidden="1" customWidth="1"/>
    <col min="45" max="45" width="14.140625" style="2" hidden="1" customWidth="1"/>
    <col min="46" max="46" width="19.5703125" style="2" hidden="1" customWidth="1"/>
    <col min="47" max="48" width="9.140625" style="2" hidden="1" customWidth="1"/>
    <col min="49" max="49" width="12.5703125" style="2" hidden="1" customWidth="1"/>
    <col min="50" max="50" width="12.140625" style="2" hidden="1" customWidth="1"/>
    <col min="51" max="51" width="19.5703125" style="2" hidden="1" customWidth="1"/>
    <col min="52" max="52" width="12" style="2" hidden="1" customWidth="1"/>
    <col min="53" max="53" width="9.140625" style="2" hidden="1" customWidth="1"/>
    <col min="54" max="54" width="13" style="2" hidden="1" customWidth="1"/>
    <col min="55" max="64" width="9.140625" style="2" hidden="1" customWidth="1"/>
    <col min="65" max="65" width="9.5703125" style="2" hidden="1" customWidth="1"/>
    <col min="66" max="66" width="9.140625" style="2" hidden="1" customWidth="1"/>
    <col min="67" max="67" width="9.5703125" style="2" hidden="1" customWidth="1"/>
    <col min="68" max="68" width="9.140625" style="2" hidden="1" customWidth="1"/>
    <col min="69" max="81" width="0" style="2" hidden="1" customWidth="1"/>
    <col min="82" max="16384" width="9.140625" style="2"/>
  </cols>
  <sheetData>
    <row r="1" spans="3:67">
      <c r="V1" s="390" t="s">
        <v>144</v>
      </c>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row>
    <row r="2" spans="3:67" ht="27">
      <c r="C2" s="53" t="str">
        <f>"Alternativ 2: "&amp;D4</f>
        <v xml:space="preserve">Alternativ 2: </v>
      </c>
      <c r="D2" s="1"/>
    </row>
    <row r="3" spans="3:67" ht="15.75" customHeight="1"/>
    <row r="4" spans="3:67" ht="15.75" customHeight="1">
      <c r="C4" s="20" t="s">
        <v>145</v>
      </c>
      <c r="D4" s="130"/>
      <c r="E4" s="19"/>
      <c r="F4" s="19"/>
      <c r="G4" s="19"/>
      <c r="H4" s="19"/>
      <c r="I4" s="19"/>
      <c r="J4" s="19"/>
      <c r="K4" s="19"/>
      <c r="L4" s="19"/>
      <c r="M4" s="19"/>
      <c r="N4" s="19"/>
      <c r="O4" s="19"/>
      <c r="AB4" s="151" t="s">
        <v>55</v>
      </c>
      <c r="AC4" s="151" t="s">
        <v>56</v>
      </c>
    </row>
    <row r="5" spans="3:67" ht="15.75" customHeight="1">
      <c r="C5" s="19"/>
      <c r="D5" s="19"/>
      <c r="E5" s="19"/>
      <c r="F5" s="19"/>
      <c r="G5" s="19"/>
      <c r="H5" s="19"/>
      <c r="I5" s="19"/>
      <c r="J5" s="19"/>
      <c r="K5" s="19"/>
      <c r="L5" s="19"/>
      <c r="M5" s="19"/>
      <c r="N5" s="19"/>
      <c r="O5" s="19"/>
      <c r="AA5" s="20" t="s">
        <v>57</v>
      </c>
      <c r="AB5" s="9">
        <f>SUM(E19:E22)</f>
        <v>0</v>
      </c>
      <c r="AC5" s="9">
        <f>SUM(F19:F22)</f>
        <v>0</v>
      </c>
    </row>
    <row r="6" spans="3:67" ht="15.75" customHeight="1">
      <c r="C6" s="19"/>
      <c r="D6" s="19"/>
      <c r="E6" s="19"/>
      <c r="F6" s="19"/>
      <c r="G6" s="19"/>
      <c r="H6" s="19"/>
      <c r="I6" s="19"/>
      <c r="J6" s="19"/>
      <c r="K6" s="19"/>
      <c r="L6" s="19"/>
      <c r="M6" s="19"/>
      <c r="N6" s="19"/>
      <c r="O6" s="19"/>
      <c r="AA6" s="20" t="s">
        <v>58</v>
      </c>
      <c r="AB6" s="9">
        <f>SUM(G19:G22)</f>
        <v>0</v>
      </c>
      <c r="AC6" s="9">
        <f>SUM(H19:H22)</f>
        <v>0</v>
      </c>
    </row>
    <row r="7" spans="3:67" ht="15.75" customHeight="1">
      <c r="C7" s="382" t="s">
        <v>146</v>
      </c>
      <c r="D7" s="382"/>
      <c r="E7" s="382"/>
      <c r="F7" s="382"/>
      <c r="G7" s="382"/>
      <c r="H7" s="382"/>
      <c r="I7" s="382"/>
      <c r="J7" s="382"/>
      <c r="K7" s="382"/>
      <c r="L7" s="382"/>
      <c r="M7" s="382"/>
      <c r="N7" s="382"/>
      <c r="O7" s="382"/>
      <c r="AA7" s="20" t="s">
        <v>59</v>
      </c>
      <c r="AB7" s="9">
        <f>SUM(I19:I22)</f>
        <v>0</v>
      </c>
      <c r="AC7" s="9">
        <f>SUM(J19:J22)</f>
        <v>0</v>
      </c>
    </row>
    <row r="8" spans="3:67" ht="30" customHeight="1">
      <c r="C8" s="152" t="s">
        <v>147</v>
      </c>
      <c r="D8" s="385"/>
      <c r="E8" s="386"/>
      <c r="F8" s="386"/>
      <c r="G8" s="386"/>
      <c r="H8" s="386"/>
      <c r="I8" s="386"/>
      <c r="J8" s="386"/>
      <c r="K8" s="386"/>
      <c r="L8" s="386"/>
      <c r="M8" s="386"/>
      <c r="N8" s="386"/>
      <c r="O8" s="387"/>
      <c r="Z8" s="2" t="s">
        <v>148</v>
      </c>
      <c r="AA8" s="20" t="s">
        <v>60</v>
      </c>
      <c r="AB8" s="9">
        <f>SUMIF($D$23:$D$24,$Z$8,E23:E24)+SUMIF($D$23:$D$24,$Z$8,G23:G24)</f>
        <v>0</v>
      </c>
      <c r="AC8" s="9">
        <f>SUMIF($D$23:$D$24,$Z$8,F23:F24)+SUMIF($D$23:$D$24,$Z$8,H23:H24)</f>
        <v>0</v>
      </c>
    </row>
    <row r="9" spans="3:67" ht="30" customHeight="1">
      <c r="C9" s="153" t="s">
        <v>149</v>
      </c>
      <c r="D9" s="385"/>
      <c r="E9" s="386"/>
      <c r="F9" s="386"/>
      <c r="G9" s="386"/>
      <c r="H9" s="386"/>
      <c r="I9" s="386"/>
      <c r="J9" s="386"/>
      <c r="K9" s="386"/>
      <c r="L9" s="386"/>
      <c r="M9" s="386"/>
      <c r="N9" s="386"/>
      <c r="O9" s="387"/>
      <c r="Z9" s="2" t="s">
        <v>150</v>
      </c>
      <c r="AA9" s="20" t="s">
        <v>61</v>
      </c>
      <c r="AB9" s="9">
        <f>SUMIF($D$23:$D$24,$Z$9,E23:E24)+SUMIF($D$23:$D$24,$Z$9,G23:G24)</f>
        <v>0</v>
      </c>
      <c r="AC9" s="9">
        <f>SUMIF($D$23:$D$24,$Z$9,F23:F24)+SUMIF($D$23:$D$24,$Z$9,H23:H24)</f>
        <v>0</v>
      </c>
    </row>
    <row r="10" spans="3:67" ht="30" customHeight="1">
      <c r="C10" s="152" t="s">
        <v>151</v>
      </c>
      <c r="D10" s="385"/>
      <c r="E10" s="386"/>
      <c r="F10" s="386"/>
      <c r="G10" s="386"/>
      <c r="H10" s="386"/>
      <c r="I10" s="386"/>
      <c r="J10" s="386"/>
      <c r="K10" s="386"/>
      <c r="L10" s="386"/>
      <c r="M10" s="386"/>
      <c r="N10" s="386"/>
      <c r="O10" s="387"/>
    </row>
    <row r="11" spans="3:67" ht="30" customHeight="1">
      <c r="C11" s="152" t="s">
        <v>152</v>
      </c>
      <c r="D11" s="385"/>
      <c r="E11" s="386"/>
      <c r="F11" s="386"/>
      <c r="G11" s="386"/>
      <c r="H11" s="386"/>
      <c r="I11" s="386"/>
      <c r="J11" s="386"/>
      <c r="K11" s="386"/>
      <c r="L11" s="386"/>
      <c r="M11" s="386"/>
      <c r="N11" s="386"/>
      <c r="O11" s="387"/>
    </row>
    <row r="12" spans="3:67" ht="15.75" customHeight="1">
      <c r="C12" s="19"/>
      <c r="D12" s="19"/>
      <c r="E12" s="19"/>
      <c r="F12" s="19"/>
      <c r="G12" s="19"/>
      <c r="H12" s="19"/>
      <c r="I12" s="19"/>
      <c r="J12" s="19"/>
      <c r="K12" s="19"/>
      <c r="L12" s="19"/>
      <c r="M12" s="19"/>
      <c r="N12" s="19"/>
      <c r="O12" s="19"/>
    </row>
    <row r="13" spans="3:67" ht="15.75" customHeight="1">
      <c r="C13" s="19"/>
      <c r="D13" s="19"/>
      <c r="E13" s="19"/>
      <c r="F13" s="19"/>
      <c r="G13" s="19"/>
      <c r="H13" s="19"/>
      <c r="I13" s="19"/>
      <c r="J13" s="19"/>
      <c r="K13" s="19"/>
      <c r="L13" s="19"/>
      <c r="M13" s="19"/>
      <c r="N13" s="19"/>
      <c r="O13" s="19"/>
    </row>
    <row r="14" spans="3:67" ht="15.75" customHeight="1">
      <c r="C14" s="154" t="s">
        <v>153</v>
      </c>
      <c r="D14" s="155"/>
      <c r="E14" s="19"/>
      <c r="F14" s="19"/>
      <c r="G14" s="19"/>
      <c r="H14" s="19"/>
      <c r="I14" s="19"/>
      <c r="J14" s="19"/>
      <c r="K14" s="19"/>
      <c r="L14" s="19"/>
      <c r="M14" s="19"/>
      <c r="N14" s="19"/>
      <c r="O14" s="19"/>
    </row>
    <row r="15" spans="3:67" ht="15.75" customHeight="1" thickBot="1">
      <c r="C15" s="156" t="s">
        <v>154</v>
      </c>
      <c r="D15" s="157"/>
      <c r="E15" s="19"/>
      <c r="F15" s="19"/>
      <c r="G15" s="19"/>
      <c r="H15" s="19"/>
      <c r="I15" s="19"/>
      <c r="J15" s="19"/>
      <c r="K15" s="19"/>
      <c r="L15" s="19"/>
      <c r="M15" s="19"/>
      <c r="N15" s="19"/>
      <c r="O15" s="19"/>
      <c r="BD15" s="310" t="s">
        <v>156</v>
      </c>
      <c r="BE15" s="310"/>
      <c r="BF15" s="310"/>
      <c r="BG15" s="310"/>
      <c r="BH15" s="310"/>
      <c r="BI15" s="310"/>
      <c r="BJ15" s="310"/>
      <c r="BK15" s="310"/>
      <c r="BL15" s="310"/>
      <c r="BM15" s="310"/>
      <c r="BN15" s="310"/>
      <c r="BO15" s="310"/>
    </row>
    <row r="16" spans="3:67" ht="15" thickBot="1">
      <c r="C16" s="19"/>
      <c r="D16" s="19"/>
      <c r="E16" s="19"/>
      <c r="F16" s="19"/>
      <c r="G16" s="19"/>
      <c r="H16" s="19"/>
      <c r="I16" s="19"/>
      <c r="J16" s="19"/>
      <c r="K16" s="19"/>
      <c r="L16" s="19"/>
      <c r="M16" s="19"/>
      <c r="N16" s="19"/>
      <c r="O16" s="19"/>
      <c r="AE16" s="158" t="s">
        <v>157</v>
      </c>
      <c r="AF16" s="159"/>
      <c r="AG16" s="159"/>
      <c r="AH16" s="159"/>
      <c r="AI16" s="159"/>
      <c r="AJ16" s="159"/>
      <c r="AK16" s="160"/>
      <c r="AN16" s="403" t="s">
        <v>158</v>
      </c>
      <c r="AO16" s="404"/>
      <c r="AP16" s="404"/>
      <c r="AQ16" s="404"/>
      <c r="AR16" s="404"/>
      <c r="AS16" s="404"/>
      <c r="AT16" s="404"/>
      <c r="AU16" s="404"/>
      <c r="AV16" s="404"/>
      <c r="AW16" s="404"/>
      <c r="AX16" s="404"/>
      <c r="AY16" s="404"/>
      <c r="AZ16" s="404"/>
      <c r="BA16" s="404"/>
      <c r="BB16" s="405"/>
      <c r="BD16" s="158" t="s">
        <v>157</v>
      </c>
      <c r="BE16" s="159"/>
      <c r="BF16" s="159"/>
      <c r="BG16" s="159"/>
      <c r="BH16" s="159"/>
      <c r="BI16" s="159"/>
      <c r="BJ16" s="160"/>
      <c r="BK16" s="161"/>
      <c r="BM16" s="162" t="s">
        <v>158</v>
      </c>
      <c r="BN16" s="163"/>
      <c r="BO16" s="163"/>
    </row>
    <row r="17" spans="3:67" ht="30" customHeight="1">
      <c r="C17" s="164" t="s">
        <v>159</v>
      </c>
      <c r="D17" s="165" t="s">
        <v>160</v>
      </c>
      <c r="E17" s="371" t="s">
        <v>161</v>
      </c>
      <c r="F17" s="372"/>
      <c r="G17" s="373" t="s">
        <v>162</v>
      </c>
      <c r="H17" s="374"/>
      <c r="I17" s="375" t="s">
        <v>163</v>
      </c>
      <c r="J17" s="376"/>
      <c r="K17" s="383" t="s">
        <v>164</v>
      </c>
      <c r="L17" s="377" t="s">
        <v>165</v>
      </c>
      <c r="M17" s="377"/>
      <c r="N17" s="377"/>
      <c r="O17" s="166" t="s">
        <v>93</v>
      </c>
      <c r="V17" s="158" t="s">
        <v>165</v>
      </c>
      <c r="W17" s="159"/>
      <c r="X17" s="160"/>
      <c r="AG17" s="378" t="s">
        <v>166</v>
      </c>
      <c r="AH17" s="378"/>
      <c r="AI17" s="378"/>
      <c r="AJ17" s="378"/>
      <c r="AK17" s="378"/>
      <c r="AN17" s="379" t="s">
        <v>167</v>
      </c>
      <c r="AO17" s="380"/>
      <c r="AP17" s="380"/>
      <c r="AQ17" s="380"/>
      <c r="AR17" s="381"/>
      <c r="AS17" s="397" t="s">
        <v>168</v>
      </c>
      <c r="AT17" s="398"/>
      <c r="AU17" s="398"/>
      <c r="AV17" s="398"/>
      <c r="AW17" s="399"/>
      <c r="AX17" s="400" t="s">
        <v>163</v>
      </c>
      <c r="AY17" s="401"/>
      <c r="AZ17" s="401"/>
      <c r="BA17" s="401"/>
      <c r="BB17" s="402"/>
      <c r="BF17" s="389" t="s">
        <v>166</v>
      </c>
      <c r="BG17" s="389"/>
      <c r="BH17" s="389"/>
      <c r="BI17" s="389"/>
      <c r="BJ17" s="389"/>
      <c r="BK17" s="17"/>
      <c r="BM17" s="2" t="s">
        <v>167</v>
      </c>
      <c r="BN17" s="2" t="s">
        <v>169</v>
      </c>
      <c r="BO17" s="2" t="s">
        <v>170</v>
      </c>
    </row>
    <row r="18" spans="3:67" ht="15" customHeight="1" thickBot="1">
      <c r="C18" s="167"/>
      <c r="D18" s="168"/>
      <c r="E18" s="169" t="s">
        <v>55</v>
      </c>
      <c r="F18" s="51" t="s">
        <v>56</v>
      </c>
      <c r="G18" s="51" t="s">
        <v>55</v>
      </c>
      <c r="H18" s="51" t="s">
        <v>56</v>
      </c>
      <c r="I18" s="51" t="s">
        <v>55</v>
      </c>
      <c r="J18" s="51" t="s">
        <v>56</v>
      </c>
      <c r="K18" s="384"/>
      <c r="L18" s="168" t="s">
        <v>4</v>
      </c>
      <c r="M18" s="168" t="s">
        <v>171</v>
      </c>
      <c r="N18" s="170" t="s">
        <v>172</v>
      </c>
      <c r="O18" s="171"/>
      <c r="V18" s="9" t="s">
        <v>173</v>
      </c>
      <c r="W18" s="9"/>
      <c r="X18" s="9" t="s">
        <v>174</v>
      </c>
      <c r="AG18" s="65" t="s">
        <v>176</v>
      </c>
      <c r="AH18" s="65" t="s">
        <v>177</v>
      </c>
      <c r="AI18" s="65" t="s">
        <v>178</v>
      </c>
      <c r="AJ18" s="65" t="s">
        <v>179</v>
      </c>
      <c r="AK18" s="65" t="s">
        <v>180</v>
      </c>
      <c r="AN18" s="172" t="s">
        <v>176</v>
      </c>
      <c r="AO18" s="173" t="s">
        <v>177</v>
      </c>
      <c r="AP18" s="173" t="s">
        <v>178</v>
      </c>
      <c r="AQ18" s="173" t="s">
        <v>179</v>
      </c>
      <c r="AR18" s="174" t="s">
        <v>180</v>
      </c>
      <c r="AS18" s="172" t="s">
        <v>176</v>
      </c>
      <c r="AT18" s="173" t="s">
        <v>177</v>
      </c>
      <c r="AU18" s="173" t="s">
        <v>178</v>
      </c>
      <c r="AV18" s="173" t="s">
        <v>179</v>
      </c>
      <c r="AW18" s="174" t="s">
        <v>180</v>
      </c>
      <c r="AX18" s="175" t="s">
        <v>176</v>
      </c>
      <c r="AY18" s="173" t="s">
        <v>177</v>
      </c>
      <c r="AZ18" s="173" t="s">
        <v>178</v>
      </c>
      <c r="BA18" s="173" t="s">
        <v>179</v>
      </c>
      <c r="BB18" s="174" t="s">
        <v>180</v>
      </c>
      <c r="BF18" s="65" t="s">
        <v>176</v>
      </c>
      <c r="BG18" s="65" t="s">
        <v>177</v>
      </c>
      <c r="BH18" s="65" t="s">
        <v>178</v>
      </c>
      <c r="BI18" s="65" t="s">
        <v>179</v>
      </c>
      <c r="BJ18" s="65" t="s">
        <v>180</v>
      </c>
      <c r="BK18" s="176"/>
      <c r="BM18" s="2" t="s">
        <v>181</v>
      </c>
      <c r="BN18" s="2" t="s">
        <v>181</v>
      </c>
      <c r="BO18" s="2" t="s">
        <v>181</v>
      </c>
    </row>
    <row r="19" spans="3:67">
      <c r="C19" s="177" t="s">
        <v>182</v>
      </c>
      <c r="D19" s="141" t="s">
        <v>188</v>
      </c>
      <c r="E19" s="138"/>
      <c r="F19" s="138"/>
      <c r="G19" s="138"/>
      <c r="H19" s="138"/>
      <c r="I19" s="138"/>
      <c r="J19" s="138"/>
      <c r="K19" s="138"/>
      <c r="L19" s="20" t="str">
        <f t="shared" ref="L19:L24" si="0">IF(VLOOKUP(D19,$AK$133:$AO$151,AN$131,FALSE)=0,"",VLOOKUP(D19,$AK$133:$AO$151,AN$131,FALSE))</f>
        <v/>
      </c>
      <c r="M19" s="138"/>
      <c r="N19" s="178" t="str">
        <f t="shared" ref="N19:N24" si="1">IF(VLOOKUP(D19,$AK$133:$AO$151,AO$131,FALSE)=0,"",VLOOKUP(D19,$AK$133:$AO$151,AO$131,FALSE))</f>
        <v/>
      </c>
      <c r="O19" s="139"/>
      <c r="V19" s="9">
        <f t="shared" ref="V19:V27" si="2">IF(OR(D19=$AK$143,D19=$AK$144),1,0)</f>
        <v>0</v>
      </c>
      <c r="W19" s="9">
        <f t="shared" ref="W19:W27" si="3">IF(D19=$AK$133,0,1)</f>
        <v>0</v>
      </c>
      <c r="X19" s="9">
        <f t="shared" ref="X19:X27" si="4">IF(AND(N19&lt;&gt;"",N19&lt;&gt;$AS$137),1,0)</f>
        <v>0</v>
      </c>
      <c r="AE19" s="9" t="str">
        <f t="shared" ref="AE19:AE24" si="5">VLOOKUP(D19,$AK$133:$AX$151,$AW$131,FALSE)</f>
        <v>tom</v>
      </c>
      <c r="AF19" s="9" t="str">
        <f t="shared" ref="AF19:AF24" si="6">IF(OR(D19=$AK$143,D19=$AK$144),AE19&amp;", "&amp;K19,AE19)</f>
        <v>tom</v>
      </c>
      <c r="AG19" s="66">
        <f>VLOOKUP($AF19,Utslippsdata!$B$20:$H$46,Utslippsdata!C$16,FALSE)</f>
        <v>0</v>
      </c>
      <c r="AH19" s="66">
        <f>VLOOKUP($AF19,Utslippsdata!$B$20:$H$46,Utslippsdata!D$16,FALSE)</f>
        <v>0</v>
      </c>
      <c r="AI19" s="66">
        <f>VLOOKUP($AF19,Utslippsdata!$B$20:$H$46,Utslippsdata!E$16,FALSE)</f>
        <v>0</v>
      </c>
      <c r="AJ19" s="66">
        <f>VLOOKUP($AF19,Utslippsdata!$B$20:$H$46,Utslippsdata!F$16,FALSE)</f>
        <v>0</v>
      </c>
      <c r="AK19" s="66">
        <f>VLOOKUP($AF19,Utslippsdata!$B$20:$H$46,Utslippsdata!G$16,FALSE)</f>
        <v>0</v>
      </c>
      <c r="AM19" s="179" t="str">
        <f t="shared" ref="AM19:AM24" si="7">AE19</f>
        <v>tom</v>
      </c>
      <c r="AN19" s="180">
        <f t="shared" ref="AN19:AR24" si="8">$F19*AG19</f>
        <v>0</v>
      </c>
      <c r="AO19" s="180">
        <f t="shared" si="8"/>
        <v>0</v>
      </c>
      <c r="AP19" s="180">
        <f t="shared" si="8"/>
        <v>0</v>
      </c>
      <c r="AQ19" s="180">
        <f t="shared" si="8"/>
        <v>0</v>
      </c>
      <c r="AR19" s="181">
        <f t="shared" si="8"/>
        <v>0</v>
      </c>
      <c r="AS19" s="182">
        <f t="shared" ref="AS19:AW24" si="9">$H19*AG19</f>
        <v>0</v>
      </c>
      <c r="AT19" s="183">
        <f t="shared" si="9"/>
        <v>0</v>
      </c>
      <c r="AU19" s="183">
        <f t="shared" si="9"/>
        <v>0</v>
      </c>
      <c r="AV19" s="183">
        <f t="shared" si="9"/>
        <v>0</v>
      </c>
      <c r="AW19" s="184">
        <f t="shared" si="9"/>
        <v>0</v>
      </c>
      <c r="AX19" s="180">
        <f t="shared" ref="AX19:BB24" si="10">$J19*AG19</f>
        <v>0</v>
      </c>
      <c r="AY19" s="180">
        <f t="shared" si="10"/>
        <v>0</v>
      </c>
      <c r="AZ19" s="180">
        <f t="shared" si="10"/>
        <v>0</v>
      </c>
      <c r="BA19" s="180">
        <f t="shared" si="10"/>
        <v>0</v>
      </c>
      <c r="BB19" s="180">
        <f t="shared" si="10"/>
        <v>0</v>
      </c>
      <c r="BD19" s="9" t="str">
        <f>VLOOKUP(D19,$AK$133:$AX$151,$AW$131,FALSE)</f>
        <v>tom</v>
      </c>
      <c r="BE19" s="9" t="str">
        <f t="shared" ref="BE19:BE24" si="11">IF(OR(AC19=$AK$143,AC19=$AK$144),BD19&amp;", "&amp;AJ19,BD19)</f>
        <v>tom</v>
      </c>
      <c r="BF19" s="66">
        <f>VLOOKUP($AF19,Utslippsdata!$BJ$20:$BP$46,Utslippsdata!C$16,FALSE)</f>
        <v>0</v>
      </c>
      <c r="BG19" s="66">
        <f>VLOOKUP($AF19,Utslippsdata!$BJ$20:$BP$46,Utslippsdata!D$16,FALSE)</f>
        <v>0</v>
      </c>
      <c r="BH19" s="66">
        <f>VLOOKUP($AF19,Utslippsdata!$BJ$20:$BP$46,Utslippsdata!E$16,FALSE)</f>
        <v>0</v>
      </c>
      <c r="BI19" s="66">
        <f>VLOOKUP($AF19,Utslippsdata!$BJ$20:$BP$46,Utslippsdata!F$16,FALSE)</f>
        <v>0</v>
      </c>
      <c r="BJ19" s="66">
        <f>VLOOKUP($AF19,Utslippsdata!$BJ$20:$BP$46,Utslippsdata!G$16,FALSE)</f>
        <v>0</v>
      </c>
      <c r="BK19" s="133"/>
      <c r="BL19" s="2" t="str">
        <f>AM19</f>
        <v>tom</v>
      </c>
      <c r="BM19" s="2">
        <f>$F19*(BF19+BG19+BI19)</f>
        <v>0</v>
      </c>
      <c r="BN19" s="2">
        <f>$H19*(BF19+BG19+BI19)</f>
        <v>0</v>
      </c>
      <c r="BO19" s="2">
        <f>BN19+BM19</f>
        <v>0</v>
      </c>
    </row>
    <row r="20" spans="3:67">
      <c r="C20" s="20" t="s">
        <v>184</v>
      </c>
      <c r="D20" s="130" t="s">
        <v>188</v>
      </c>
      <c r="E20" s="138"/>
      <c r="F20" s="138"/>
      <c r="G20" s="138"/>
      <c r="H20" s="138"/>
      <c r="I20" s="138"/>
      <c r="J20" s="138"/>
      <c r="K20" s="138"/>
      <c r="L20" s="20" t="str">
        <f t="shared" si="0"/>
        <v/>
      </c>
      <c r="M20" s="138"/>
      <c r="N20" s="178" t="str">
        <f t="shared" si="1"/>
        <v/>
      </c>
      <c r="O20" s="139"/>
      <c r="V20" s="9">
        <f t="shared" si="2"/>
        <v>0</v>
      </c>
      <c r="W20" s="9">
        <f t="shared" si="3"/>
        <v>0</v>
      </c>
      <c r="X20" s="9">
        <f t="shared" si="4"/>
        <v>0</v>
      </c>
      <c r="AE20" s="9" t="str">
        <f t="shared" si="5"/>
        <v>tom</v>
      </c>
      <c r="AF20" s="9" t="str">
        <f t="shared" si="6"/>
        <v>tom</v>
      </c>
      <c r="AG20" s="66">
        <f>VLOOKUP($AF20,Utslippsdata!$B$20:$H$46,Utslippsdata!C$16,FALSE)</f>
        <v>0</v>
      </c>
      <c r="AH20" s="66">
        <f>VLOOKUP($AF20,Utslippsdata!$B$20:$H$46,Utslippsdata!D$16,FALSE)</f>
        <v>0</v>
      </c>
      <c r="AI20" s="66">
        <f>VLOOKUP($AF20,Utslippsdata!$B$20:$H$46,Utslippsdata!E$16,FALSE)</f>
        <v>0</v>
      </c>
      <c r="AJ20" s="66">
        <f>VLOOKUP($AF20,Utslippsdata!$B$20:$H$46,Utslippsdata!F$16,FALSE)</f>
        <v>0</v>
      </c>
      <c r="AK20" s="66">
        <f>VLOOKUP($AF20,Utslippsdata!$B$20:$H$46,Utslippsdata!G$16,FALSE)</f>
        <v>0</v>
      </c>
      <c r="AM20" s="185" t="str">
        <f t="shared" si="7"/>
        <v>tom</v>
      </c>
      <c r="AN20" s="180">
        <f t="shared" si="8"/>
        <v>0</v>
      </c>
      <c r="AO20" s="180">
        <f t="shared" si="8"/>
        <v>0</v>
      </c>
      <c r="AP20" s="180">
        <f t="shared" si="8"/>
        <v>0</v>
      </c>
      <c r="AQ20" s="180">
        <f t="shared" si="8"/>
        <v>0</v>
      </c>
      <c r="AR20" s="181">
        <f t="shared" si="8"/>
        <v>0</v>
      </c>
      <c r="AS20" s="186">
        <f t="shared" si="9"/>
        <v>0</v>
      </c>
      <c r="AT20" s="180">
        <f t="shared" si="9"/>
        <v>0</v>
      </c>
      <c r="AU20" s="180">
        <f t="shared" si="9"/>
        <v>0</v>
      </c>
      <c r="AV20" s="180">
        <f t="shared" si="9"/>
        <v>0</v>
      </c>
      <c r="AW20" s="187">
        <f t="shared" si="9"/>
        <v>0</v>
      </c>
      <c r="AX20" s="180">
        <f t="shared" si="10"/>
        <v>0</v>
      </c>
      <c r="AY20" s="180">
        <f t="shared" si="10"/>
        <v>0</v>
      </c>
      <c r="AZ20" s="180">
        <f t="shared" si="10"/>
        <v>0</v>
      </c>
      <c r="BA20" s="180">
        <f t="shared" si="10"/>
        <v>0</v>
      </c>
      <c r="BB20" s="180">
        <f t="shared" si="10"/>
        <v>0</v>
      </c>
      <c r="BD20" s="9" t="str">
        <f t="shared" ref="BD20:BD24" si="12">VLOOKUP(D20,$AK$133:$AX$151,$AW$131,FALSE)</f>
        <v>tom</v>
      </c>
      <c r="BE20" s="9" t="str">
        <f t="shared" si="11"/>
        <v>tom</v>
      </c>
      <c r="BF20" s="66">
        <f>VLOOKUP($AF20,Utslippsdata!$BJ$20:$BP$46,Utslippsdata!C$16,FALSE)</f>
        <v>0</v>
      </c>
      <c r="BG20" s="66">
        <f>VLOOKUP($AF20,Utslippsdata!$BJ$20:$BP$46,Utslippsdata!D$16,FALSE)</f>
        <v>0</v>
      </c>
      <c r="BH20" s="66">
        <f>VLOOKUP($AF20,Utslippsdata!$BJ$20:$BP$46,Utslippsdata!E$16,FALSE)</f>
        <v>0</v>
      </c>
      <c r="BI20" s="66">
        <f>VLOOKUP($AF20,Utslippsdata!$BJ$20:$BP$46,Utslippsdata!F$16,FALSE)</f>
        <v>0</v>
      </c>
      <c r="BJ20" s="66">
        <f>VLOOKUP($AF20,Utslippsdata!$BJ$20:$BP$46,Utslippsdata!G$16,FALSE)</f>
        <v>0</v>
      </c>
      <c r="BK20" s="133"/>
      <c r="BL20" s="2" t="str">
        <f t="shared" ref="BL20:BL24" si="13">AM20</f>
        <v>tom</v>
      </c>
      <c r="BM20" s="2">
        <f>$F20*(BF20+BG20+BI20)</f>
        <v>0</v>
      </c>
      <c r="BN20" s="2">
        <f>$H20*(BF20+BG20+BI20)</f>
        <v>0</v>
      </c>
      <c r="BO20" s="2">
        <f>BN20+BM20</f>
        <v>0</v>
      </c>
    </row>
    <row r="21" spans="3:67">
      <c r="C21" s="20" t="s">
        <v>186</v>
      </c>
      <c r="D21" s="130" t="s">
        <v>188</v>
      </c>
      <c r="E21" s="138"/>
      <c r="F21" s="138"/>
      <c r="G21" s="138"/>
      <c r="H21" s="138"/>
      <c r="I21" s="138"/>
      <c r="J21" s="138"/>
      <c r="K21" s="138"/>
      <c r="L21" s="20" t="str">
        <f t="shared" si="0"/>
        <v/>
      </c>
      <c r="M21" s="138"/>
      <c r="N21" s="178" t="str">
        <f t="shared" si="1"/>
        <v/>
      </c>
      <c r="O21" s="139"/>
      <c r="V21" s="9">
        <f t="shared" si="2"/>
        <v>0</v>
      </c>
      <c r="W21" s="9">
        <f t="shared" si="3"/>
        <v>0</v>
      </c>
      <c r="X21" s="9">
        <f t="shared" si="4"/>
        <v>0</v>
      </c>
      <c r="AE21" s="9" t="str">
        <f t="shared" si="5"/>
        <v>tom</v>
      </c>
      <c r="AF21" s="9" t="str">
        <f t="shared" si="6"/>
        <v>tom</v>
      </c>
      <c r="AG21" s="66">
        <f>VLOOKUP($AF21,Utslippsdata!$B$20:$H$46,Utslippsdata!C$16,FALSE)</f>
        <v>0</v>
      </c>
      <c r="AH21" s="66">
        <f>VLOOKUP($AF21,Utslippsdata!$B$20:$H$46,Utslippsdata!D$16,FALSE)</f>
        <v>0</v>
      </c>
      <c r="AI21" s="66">
        <f>VLOOKUP($AF21,Utslippsdata!$B$20:$H$46,Utslippsdata!E$16,FALSE)</f>
        <v>0</v>
      </c>
      <c r="AJ21" s="66">
        <f>VLOOKUP($AF21,Utslippsdata!$B$20:$H$46,Utslippsdata!F$16,FALSE)</f>
        <v>0</v>
      </c>
      <c r="AK21" s="66">
        <f>VLOOKUP($AF21,Utslippsdata!$B$20:$H$46,Utslippsdata!G$16,FALSE)</f>
        <v>0</v>
      </c>
      <c r="AM21" s="185" t="str">
        <f t="shared" si="7"/>
        <v>tom</v>
      </c>
      <c r="AN21" s="180">
        <f t="shared" si="8"/>
        <v>0</v>
      </c>
      <c r="AO21" s="180">
        <f t="shared" si="8"/>
        <v>0</v>
      </c>
      <c r="AP21" s="180">
        <f t="shared" si="8"/>
        <v>0</v>
      </c>
      <c r="AQ21" s="180">
        <f t="shared" si="8"/>
        <v>0</v>
      </c>
      <c r="AR21" s="181">
        <f t="shared" si="8"/>
        <v>0</v>
      </c>
      <c r="AS21" s="186">
        <f t="shared" si="9"/>
        <v>0</v>
      </c>
      <c r="AT21" s="180">
        <f t="shared" si="9"/>
        <v>0</v>
      </c>
      <c r="AU21" s="180">
        <f t="shared" si="9"/>
        <v>0</v>
      </c>
      <c r="AV21" s="180">
        <f t="shared" si="9"/>
        <v>0</v>
      </c>
      <c r="AW21" s="187">
        <f t="shared" si="9"/>
        <v>0</v>
      </c>
      <c r="AX21" s="180">
        <f t="shared" si="10"/>
        <v>0</v>
      </c>
      <c r="AY21" s="180">
        <f t="shared" si="10"/>
        <v>0</v>
      </c>
      <c r="AZ21" s="180">
        <f t="shared" si="10"/>
        <v>0</v>
      </c>
      <c r="BA21" s="180">
        <f t="shared" si="10"/>
        <v>0</v>
      </c>
      <c r="BB21" s="180">
        <f t="shared" si="10"/>
        <v>0</v>
      </c>
      <c r="BD21" s="9" t="str">
        <f t="shared" si="12"/>
        <v>tom</v>
      </c>
      <c r="BE21" s="9" t="str">
        <f t="shared" si="11"/>
        <v>tom</v>
      </c>
      <c r="BF21" s="66">
        <f>VLOOKUP($AF21,Utslippsdata!$BJ$20:$BP$46,Utslippsdata!C$16,FALSE)</f>
        <v>0</v>
      </c>
      <c r="BG21" s="66">
        <f>VLOOKUP($AF21,Utslippsdata!$BJ$20:$BP$46,Utslippsdata!D$16,FALSE)</f>
        <v>0</v>
      </c>
      <c r="BH21" s="66">
        <f>VLOOKUP($AF21,Utslippsdata!$BJ$20:$BP$46,Utslippsdata!E$16,FALSE)</f>
        <v>0</v>
      </c>
      <c r="BI21" s="66">
        <f>VLOOKUP($AF21,Utslippsdata!$BJ$20:$BP$46,Utslippsdata!F$16,FALSE)</f>
        <v>0</v>
      </c>
      <c r="BJ21" s="66">
        <f>VLOOKUP($AF21,Utslippsdata!$BJ$20:$BP$46,Utslippsdata!G$16,FALSE)</f>
        <v>0</v>
      </c>
      <c r="BK21" s="133"/>
      <c r="BL21" s="2" t="str">
        <f t="shared" si="13"/>
        <v>tom</v>
      </c>
      <c r="BM21" s="2">
        <f t="shared" ref="BM21:BM24" si="14">$F21*(BF21+BG21+BI21)</f>
        <v>0</v>
      </c>
      <c r="BN21" s="2">
        <f t="shared" ref="BN21:BN24" si="15">$H21*(BF21+BG21+BI21)</f>
        <v>0</v>
      </c>
      <c r="BO21" s="2">
        <f t="shared" ref="BO21:BO24" si="16">BN21+BM21</f>
        <v>0</v>
      </c>
    </row>
    <row r="22" spans="3:67">
      <c r="C22" s="20" t="s">
        <v>187</v>
      </c>
      <c r="D22" s="130" t="s">
        <v>188</v>
      </c>
      <c r="E22" s="138"/>
      <c r="F22" s="138"/>
      <c r="G22" s="138"/>
      <c r="H22" s="138"/>
      <c r="I22" s="138"/>
      <c r="J22" s="138"/>
      <c r="K22" s="138"/>
      <c r="L22" s="20" t="str">
        <f t="shared" si="0"/>
        <v/>
      </c>
      <c r="M22" s="138"/>
      <c r="N22" s="178" t="str">
        <f t="shared" si="1"/>
        <v/>
      </c>
      <c r="O22" s="139"/>
      <c r="V22" s="9">
        <f t="shared" si="2"/>
        <v>0</v>
      </c>
      <c r="W22" s="9">
        <f t="shared" si="3"/>
        <v>0</v>
      </c>
      <c r="X22" s="9">
        <f t="shared" si="4"/>
        <v>0</v>
      </c>
      <c r="AE22" s="9" t="str">
        <f t="shared" si="5"/>
        <v>tom</v>
      </c>
      <c r="AF22" s="9" t="str">
        <f t="shared" si="6"/>
        <v>tom</v>
      </c>
      <c r="AG22" s="66">
        <f>VLOOKUP($AF22,Utslippsdata!$B$20:$H$46,Utslippsdata!C$16,FALSE)</f>
        <v>0</v>
      </c>
      <c r="AH22" s="66">
        <f>VLOOKUP($AF22,Utslippsdata!$B$20:$H$46,Utslippsdata!D$16,FALSE)</f>
        <v>0</v>
      </c>
      <c r="AI22" s="66">
        <f>VLOOKUP($AF22,Utslippsdata!$B$20:$H$46,Utslippsdata!E$16,FALSE)</f>
        <v>0</v>
      </c>
      <c r="AJ22" s="66">
        <f>VLOOKUP($AF22,Utslippsdata!$B$20:$H$46,Utslippsdata!F$16,FALSE)</f>
        <v>0</v>
      </c>
      <c r="AK22" s="66">
        <f>VLOOKUP($AF22,Utslippsdata!$B$20:$H$46,Utslippsdata!G$16,FALSE)</f>
        <v>0</v>
      </c>
      <c r="AM22" s="185" t="str">
        <f t="shared" si="7"/>
        <v>tom</v>
      </c>
      <c r="AN22" s="180">
        <f t="shared" si="8"/>
        <v>0</v>
      </c>
      <c r="AO22" s="180">
        <f t="shared" si="8"/>
        <v>0</v>
      </c>
      <c r="AP22" s="180">
        <f t="shared" si="8"/>
        <v>0</v>
      </c>
      <c r="AQ22" s="180">
        <f t="shared" si="8"/>
        <v>0</v>
      </c>
      <c r="AR22" s="181">
        <f t="shared" si="8"/>
        <v>0</v>
      </c>
      <c r="AS22" s="186">
        <f t="shared" si="9"/>
        <v>0</v>
      </c>
      <c r="AT22" s="180">
        <f t="shared" si="9"/>
        <v>0</v>
      </c>
      <c r="AU22" s="180">
        <f t="shared" si="9"/>
        <v>0</v>
      </c>
      <c r="AV22" s="180">
        <f t="shared" si="9"/>
        <v>0</v>
      </c>
      <c r="AW22" s="187">
        <f t="shared" si="9"/>
        <v>0</v>
      </c>
      <c r="AX22" s="180">
        <f t="shared" si="10"/>
        <v>0</v>
      </c>
      <c r="AY22" s="180">
        <f t="shared" si="10"/>
        <v>0</v>
      </c>
      <c r="AZ22" s="180">
        <f t="shared" si="10"/>
        <v>0</v>
      </c>
      <c r="BA22" s="180">
        <f t="shared" si="10"/>
        <v>0</v>
      </c>
      <c r="BB22" s="180">
        <f t="shared" si="10"/>
        <v>0</v>
      </c>
      <c r="BD22" s="9" t="str">
        <f t="shared" si="12"/>
        <v>tom</v>
      </c>
      <c r="BE22" s="9" t="str">
        <f t="shared" si="11"/>
        <v>tom</v>
      </c>
      <c r="BF22" s="66">
        <f>VLOOKUP($AF22,Utslippsdata!$BJ$20:$BP$46,Utslippsdata!C$16,FALSE)</f>
        <v>0</v>
      </c>
      <c r="BG22" s="66">
        <f>VLOOKUP($AF22,Utslippsdata!$BJ$20:$BP$46,Utslippsdata!D$16,FALSE)</f>
        <v>0</v>
      </c>
      <c r="BH22" s="66">
        <f>VLOOKUP($AF22,Utslippsdata!$BJ$20:$BP$46,Utslippsdata!E$16,FALSE)</f>
        <v>0</v>
      </c>
      <c r="BI22" s="66">
        <f>VLOOKUP($AF22,Utslippsdata!$BJ$20:$BP$46,Utslippsdata!F$16,FALSE)</f>
        <v>0</v>
      </c>
      <c r="BJ22" s="66">
        <f>VLOOKUP($AF22,Utslippsdata!$BJ$20:$BP$46,Utslippsdata!G$16,FALSE)</f>
        <v>0</v>
      </c>
      <c r="BK22" s="133"/>
      <c r="BL22" s="2" t="str">
        <f t="shared" si="13"/>
        <v>tom</v>
      </c>
      <c r="BM22" s="2">
        <f t="shared" si="14"/>
        <v>0</v>
      </c>
      <c r="BN22" s="2">
        <f t="shared" si="15"/>
        <v>0</v>
      </c>
      <c r="BO22" s="2">
        <f t="shared" si="16"/>
        <v>0</v>
      </c>
    </row>
    <row r="23" spans="3:67">
      <c r="C23" s="20" t="s">
        <v>189</v>
      </c>
      <c r="D23" s="130" t="s">
        <v>188</v>
      </c>
      <c r="E23" s="138"/>
      <c r="F23" s="138"/>
      <c r="G23" s="138"/>
      <c r="H23" s="138"/>
      <c r="I23" s="138"/>
      <c r="J23" s="138"/>
      <c r="K23" s="138"/>
      <c r="L23" s="20" t="str">
        <f t="shared" si="0"/>
        <v/>
      </c>
      <c r="M23" s="138"/>
      <c r="N23" s="178" t="str">
        <f t="shared" si="1"/>
        <v/>
      </c>
      <c r="O23" s="139"/>
      <c r="V23" s="9">
        <f t="shared" si="2"/>
        <v>0</v>
      </c>
      <c r="W23" s="9">
        <f t="shared" si="3"/>
        <v>0</v>
      </c>
      <c r="X23" s="9">
        <f t="shared" si="4"/>
        <v>0</v>
      </c>
      <c r="AE23" s="9" t="str">
        <f t="shared" si="5"/>
        <v>tom</v>
      </c>
      <c r="AF23" s="9" t="str">
        <f t="shared" si="6"/>
        <v>tom</v>
      </c>
      <c r="AG23" s="66">
        <f>VLOOKUP($AF23,Utslippsdata!$B$20:$H$46,Utslippsdata!C$16,FALSE)</f>
        <v>0</v>
      </c>
      <c r="AH23" s="66">
        <f>VLOOKUP($AF23,Utslippsdata!$B$20:$H$46,Utslippsdata!D$16,FALSE)</f>
        <v>0</v>
      </c>
      <c r="AI23" s="66">
        <f>VLOOKUP($AF23,Utslippsdata!$B$20:$H$46,Utslippsdata!E$16,FALSE)</f>
        <v>0</v>
      </c>
      <c r="AJ23" s="66">
        <f>VLOOKUP($AF23,Utslippsdata!$B$20:$H$46,Utslippsdata!F$16,FALSE)</f>
        <v>0</v>
      </c>
      <c r="AK23" s="66">
        <f>VLOOKUP($AF23,Utslippsdata!$B$20:$H$46,Utslippsdata!G$16,FALSE)</f>
        <v>0</v>
      </c>
      <c r="AM23" s="185" t="str">
        <f t="shared" si="7"/>
        <v>tom</v>
      </c>
      <c r="AN23" s="180">
        <f t="shared" si="8"/>
        <v>0</v>
      </c>
      <c r="AO23" s="180">
        <f t="shared" si="8"/>
        <v>0</v>
      </c>
      <c r="AP23" s="180">
        <f t="shared" si="8"/>
        <v>0</v>
      </c>
      <c r="AQ23" s="180">
        <f t="shared" si="8"/>
        <v>0</v>
      </c>
      <c r="AR23" s="181">
        <f t="shared" si="8"/>
        <v>0</v>
      </c>
      <c r="AS23" s="186">
        <f t="shared" si="9"/>
        <v>0</v>
      </c>
      <c r="AT23" s="180">
        <f t="shared" si="9"/>
        <v>0</v>
      </c>
      <c r="AU23" s="180">
        <f t="shared" si="9"/>
        <v>0</v>
      </c>
      <c r="AV23" s="180">
        <f t="shared" si="9"/>
        <v>0</v>
      </c>
      <c r="AW23" s="187">
        <f t="shared" si="9"/>
        <v>0</v>
      </c>
      <c r="AX23" s="180">
        <f t="shared" si="10"/>
        <v>0</v>
      </c>
      <c r="AY23" s="180">
        <f t="shared" si="10"/>
        <v>0</v>
      </c>
      <c r="AZ23" s="180">
        <f t="shared" si="10"/>
        <v>0</v>
      </c>
      <c r="BA23" s="180">
        <f t="shared" si="10"/>
        <v>0</v>
      </c>
      <c r="BB23" s="180">
        <f t="shared" si="10"/>
        <v>0</v>
      </c>
      <c r="BD23" s="9" t="str">
        <f t="shared" si="12"/>
        <v>tom</v>
      </c>
      <c r="BE23" s="9" t="str">
        <f t="shared" si="11"/>
        <v>tom</v>
      </c>
      <c r="BF23" s="66">
        <f>VLOOKUP($AF23,Utslippsdata!$BJ$20:$BP$46,Utslippsdata!C$16,FALSE)</f>
        <v>0</v>
      </c>
      <c r="BG23" s="66">
        <f>VLOOKUP($AF23,Utslippsdata!$BJ$20:$BP$46,Utslippsdata!D$16,FALSE)</f>
        <v>0</v>
      </c>
      <c r="BH23" s="66">
        <f>VLOOKUP($AF23,Utslippsdata!$BJ$20:$BP$46,Utslippsdata!E$16,FALSE)</f>
        <v>0</v>
      </c>
      <c r="BI23" s="66">
        <f>VLOOKUP($AF23,Utslippsdata!$BJ$20:$BP$46,Utslippsdata!F$16,FALSE)</f>
        <v>0</v>
      </c>
      <c r="BJ23" s="66">
        <f>VLOOKUP($AF23,Utslippsdata!$BJ$20:$BP$46,Utslippsdata!G$16,FALSE)</f>
        <v>0</v>
      </c>
      <c r="BK23" s="133"/>
      <c r="BL23" s="2" t="str">
        <f t="shared" si="13"/>
        <v>tom</v>
      </c>
      <c r="BM23" s="2">
        <f t="shared" si="14"/>
        <v>0</v>
      </c>
      <c r="BN23" s="2">
        <f t="shared" si="15"/>
        <v>0</v>
      </c>
      <c r="BO23" s="2">
        <f t="shared" si="16"/>
        <v>0</v>
      </c>
    </row>
    <row r="24" spans="3:67">
      <c r="C24" s="20" t="s">
        <v>190</v>
      </c>
      <c r="D24" s="130" t="s">
        <v>188</v>
      </c>
      <c r="E24" s="138"/>
      <c r="F24" s="138"/>
      <c r="G24" s="138"/>
      <c r="H24" s="138"/>
      <c r="I24" s="138"/>
      <c r="J24" s="138"/>
      <c r="K24" s="138"/>
      <c r="L24" s="20" t="str">
        <f t="shared" si="0"/>
        <v/>
      </c>
      <c r="M24" s="138"/>
      <c r="N24" s="178" t="str">
        <f t="shared" si="1"/>
        <v/>
      </c>
      <c r="O24" s="139"/>
      <c r="V24" s="9">
        <f t="shared" si="2"/>
        <v>0</v>
      </c>
      <c r="W24" s="9">
        <f t="shared" si="3"/>
        <v>0</v>
      </c>
      <c r="X24" s="9">
        <f t="shared" si="4"/>
        <v>0</v>
      </c>
      <c r="AE24" s="9" t="str">
        <f t="shared" si="5"/>
        <v>tom</v>
      </c>
      <c r="AF24" s="9" t="str">
        <f t="shared" si="6"/>
        <v>tom</v>
      </c>
      <c r="AG24" s="66">
        <f>VLOOKUP($AF24,Utslippsdata!$B$20:$H$46,Utslippsdata!C$16,FALSE)</f>
        <v>0</v>
      </c>
      <c r="AH24" s="66">
        <f>VLOOKUP($AF24,Utslippsdata!$B$20:$H$46,Utslippsdata!D$16,FALSE)</f>
        <v>0</v>
      </c>
      <c r="AI24" s="66">
        <f>VLOOKUP($AF24,Utslippsdata!$B$20:$H$46,Utslippsdata!E$16,FALSE)</f>
        <v>0</v>
      </c>
      <c r="AJ24" s="66">
        <f>VLOOKUP($AF24,Utslippsdata!$B$20:$H$46,Utslippsdata!F$16,FALSE)</f>
        <v>0</v>
      </c>
      <c r="AK24" s="66">
        <f>VLOOKUP($AF24,Utslippsdata!$B$20:$H$46,Utslippsdata!G$16,FALSE)</f>
        <v>0</v>
      </c>
      <c r="AM24" s="185" t="str">
        <f t="shared" si="7"/>
        <v>tom</v>
      </c>
      <c r="AN24" s="180">
        <f t="shared" si="8"/>
        <v>0</v>
      </c>
      <c r="AO24" s="180">
        <f t="shared" si="8"/>
        <v>0</v>
      </c>
      <c r="AP24" s="180">
        <f t="shared" si="8"/>
        <v>0</v>
      </c>
      <c r="AQ24" s="180">
        <f t="shared" si="8"/>
        <v>0</v>
      </c>
      <c r="AR24" s="181">
        <f t="shared" si="8"/>
        <v>0</v>
      </c>
      <c r="AS24" s="186">
        <f t="shared" si="9"/>
        <v>0</v>
      </c>
      <c r="AT24" s="180">
        <f t="shared" si="9"/>
        <v>0</v>
      </c>
      <c r="AU24" s="180">
        <f t="shared" si="9"/>
        <v>0</v>
      </c>
      <c r="AV24" s="180">
        <f t="shared" si="9"/>
        <v>0</v>
      </c>
      <c r="AW24" s="187">
        <f t="shared" si="9"/>
        <v>0</v>
      </c>
      <c r="AX24" s="180">
        <f t="shared" si="10"/>
        <v>0</v>
      </c>
      <c r="AY24" s="180">
        <f t="shared" si="10"/>
        <v>0</v>
      </c>
      <c r="AZ24" s="180">
        <f t="shared" si="10"/>
        <v>0</v>
      </c>
      <c r="BA24" s="180">
        <f t="shared" si="10"/>
        <v>0</v>
      </c>
      <c r="BB24" s="180">
        <f t="shared" si="10"/>
        <v>0</v>
      </c>
      <c r="BD24" s="9" t="str">
        <f t="shared" si="12"/>
        <v>tom</v>
      </c>
      <c r="BE24" s="9" t="str">
        <f t="shared" si="11"/>
        <v>tom</v>
      </c>
      <c r="BF24" s="66">
        <f>VLOOKUP($AF24,Utslippsdata!$BJ$20:$BP$46,Utslippsdata!C$16,FALSE)</f>
        <v>0</v>
      </c>
      <c r="BG24" s="66">
        <f>VLOOKUP($AF24,Utslippsdata!$BJ$20:$BP$46,Utslippsdata!D$16,FALSE)</f>
        <v>0</v>
      </c>
      <c r="BH24" s="66">
        <f>VLOOKUP($AF24,Utslippsdata!$BJ$20:$BP$46,Utslippsdata!E$16,FALSE)</f>
        <v>0</v>
      </c>
      <c r="BI24" s="66">
        <f>VLOOKUP($AF24,Utslippsdata!$BJ$20:$BP$46,Utslippsdata!F$16,FALSE)</f>
        <v>0</v>
      </c>
      <c r="BJ24" s="66">
        <f>VLOOKUP($AF24,Utslippsdata!$BJ$20:$BP$46,Utslippsdata!G$16,FALSE)</f>
        <v>0</v>
      </c>
      <c r="BK24" s="133"/>
      <c r="BL24" s="2" t="str">
        <f t="shared" si="13"/>
        <v>tom</v>
      </c>
      <c r="BM24" s="2">
        <f t="shared" si="14"/>
        <v>0</v>
      </c>
      <c r="BN24" s="2">
        <f t="shared" si="15"/>
        <v>0</v>
      </c>
      <c r="BO24" s="2">
        <f t="shared" si="16"/>
        <v>0</v>
      </c>
    </row>
    <row r="25" spans="3:67" ht="15.75" thickBot="1">
      <c r="C25" s="20" t="s">
        <v>191</v>
      </c>
      <c r="D25" s="20" t="s">
        <v>192</v>
      </c>
      <c r="E25" s="368"/>
      <c r="F25" s="368"/>
      <c r="G25" s="326"/>
      <c r="H25" s="327"/>
      <c r="I25" s="369"/>
      <c r="J25" s="370"/>
      <c r="K25" s="188"/>
      <c r="L25" s="189"/>
      <c r="M25" s="189"/>
      <c r="N25" s="190"/>
      <c r="O25" s="139"/>
      <c r="P25" s="6"/>
      <c r="Q25" s="6"/>
      <c r="T25" s="6"/>
      <c r="U25" s="6"/>
      <c r="V25" s="9">
        <f t="shared" si="2"/>
        <v>0</v>
      </c>
      <c r="W25" s="9">
        <f t="shared" si="3"/>
        <v>1</v>
      </c>
      <c r="X25" s="9">
        <f t="shared" si="4"/>
        <v>0</v>
      </c>
      <c r="AM25" s="191" t="s">
        <v>191</v>
      </c>
      <c r="AN25" s="192">
        <f>$E$25*SUM(F19:F24)*(Utslippsdata!C54+Utslippsdata!C55)+$E$26*Utslippsdata!C56</f>
        <v>0</v>
      </c>
      <c r="AO25" s="193">
        <f>$E$25*SUM(F19:F24)*(Utslippsdata!D54+Utslippsdata!D55)+$E$26*Utslippsdata!D56</f>
        <v>0</v>
      </c>
      <c r="AP25" s="193">
        <f>$E$25*SUM(F19:F24)*(Utslippsdata!E54+Utslippsdata!E55)+$E$26*Utslippsdata!E56</f>
        <v>0</v>
      </c>
      <c r="AQ25" s="193">
        <f>$E$25*SUM(F19:F24)*(Utslippsdata!F54+Utslippsdata!F55)+$E$26*Utslippsdata!F56</f>
        <v>0</v>
      </c>
      <c r="AR25" s="194">
        <f>$E$25*SUM(F19:F24)*(Utslippsdata!G54+Utslippsdata!G55)+$E$26*Utslippsdata!G56</f>
        <v>0</v>
      </c>
      <c r="AS25" s="195">
        <f>$G$25*SUM(H19:H24)*(Utslippsdata!C54+Utslippsdata!C55)+$G$26*Utslippsdata!C56</f>
        <v>0</v>
      </c>
      <c r="AT25" s="193">
        <f>$G$25*SUM(H19:H24)*(Utslippsdata!D54+Utslippsdata!D55)+$G$26*Utslippsdata!D56</f>
        <v>0</v>
      </c>
      <c r="AU25" s="193">
        <f>$G$25*SUM(H19:H24)*(Utslippsdata!E54+Utslippsdata!E55)+$G$26*Utslippsdata!E56</f>
        <v>0</v>
      </c>
      <c r="AV25" s="193">
        <f>$G$25*SUM(H19:H24)*(Utslippsdata!F54+Utslippsdata!F55)+$G$26*Utslippsdata!F56</f>
        <v>0</v>
      </c>
      <c r="AW25" s="196">
        <f>$G$25*SUM(H19:H24)*(Utslippsdata!G54+Utslippsdata!G55)+$G$26*Utslippsdata!G56</f>
        <v>0</v>
      </c>
      <c r="AX25" s="197"/>
      <c r="AY25" s="198"/>
      <c r="AZ25" s="198"/>
      <c r="BA25" s="198"/>
      <c r="BB25" s="199"/>
    </row>
    <row r="26" spans="3:67" ht="15" thickBot="1">
      <c r="C26" s="20" t="s">
        <v>193</v>
      </c>
      <c r="D26" s="20" t="s">
        <v>194</v>
      </c>
      <c r="E26" s="368"/>
      <c r="F26" s="368"/>
      <c r="G26" s="326"/>
      <c r="H26" s="327"/>
      <c r="I26" s="200"/>
      <c r="J26" s="201"/>
      <c r="K26" s="202"/>
      <c r="L26" s="19"/>
      <c r="M26" s="19"/>
      <c r="N26" s="203"/>
      <c r="O26" s="139"/>
      <c r="P26" s="6"/>
      <c r="Q26" s="6"/>
      <c r="T26" s="6"/>
      <c r="U26" s="6"/>
      <c r="V26" s="9">
        <f t="shared" si="2"/>
        <v>0</v>
      </c>
      <c r="W26" s="9">
        <f t="shared" si="3"/>
        <v>1</v>
      </c>
      <c r="X26" s="9">
        <f t="shared" si="4"/>
        <v>0</v>
      </c>
      <c r="AM26" s="204" t="s">
        <v>170</v>
      </c>
      <c r="AN26" s="205">
        <f t="shared" ref="AN26:BB26" si="17">SUM(AN19:AN25)</f>
        <v>0</v>
      </c>
      <c r="AO26" s="206">
        <f t="shared" si="17"/>
        <v>0</v>
      </c>
      <c r="AP26" s="206">
        <f t="shared" si="17"/>
        <v>0</v>
      </c>
      <c r="AQ26" s="206">
        <f t="shared" si="17"/>
        <v>0</v>
      </c>
      <c r="AR26" s="207">
        <f t="shared" si="17"/>
        <v>0</v>
      </c>
      <c r="AS26" s="205">
        <f t="shared" si="17"/>
        <v>0</v>
      </c>
      <c r="AT26" s="206">
        <f t="shared" si="17"/>
        <v>0</v>
      </c>
      <c r="AU26" s="206">
        <f t="shared" si="17"/>
        <v>0</v>
      </c>
      <c r="AV26" s="206">
        <f t="shared" si="17"/>
        <v>0</v>
      </c>
      <c r="AW26" s="207">
        <f t="shared" si="17"/>
        <v>0</v>
      </c>
      <c r="AX26" s="205">
        <f t="shared" si="17"/>
        <v>0</v>
      </c>
      <c r="AY26" s="206">
        <f t="shared" si="17"/>
        <v>0</v>
      </c>
      <c r="AZ26" s="206">
        <f t="shared" si="17"/>
        <v>0</v>
      </c>
      <c r="BA26" s="206">
        <f t="shared" si="17"/>
        <v>0</v>
      </c>
      <c r="BB26" s="207">
        <f t="shared" si="17"/>
        <v>0</v>
      </c>
    </row>
    <row r="27" spans="3:67">
      <c r="C27" s="178" t="s">
        <v>195</v>
      </c>
      <c r="D27" s="208"/>
      <c r="E27" s="324"/>
      <c r="F27" s="325"/>
      <c r="G27" s="326"/>
      <c r="H27" s="327"/>
      <c r="I27" s="326"/>
      <c r="J27" s="327"/>
      <c r="K27" s="209"/>
      <c r="L27" s="210"/>
      <c r="M27" s="210"/>
      <c r="N27" s="211"/>
      <c r="O27" s="139"/>
      <c r="V27" s="9">
        <f t="shared" si="2"/>
        <v>0</v>
      </c>
      <c r="W27" s="9">
        <f t="shared" si="3"/>
        <v>1</v>
      </c>
      <c r="X27" s="9">
        <f t="shared" si="4"/>
        <v>0</v>
      </c>
    </row>
    <row r="28" spans="3:67">
      <c r="C28" s="19"/>
      <c r="D28" s="19"/>
      <c r="E28" s="19"/>
      <c r="F28" s="19"/>
      <c r="G28" s="19"/>
      <c r="H28" s="19"/>
      <c r="I28" s="19"/>
      <c r="J28" s="19"/>
      <c r="K28" s="19"/>
      <c r="L28" s="19"/>
      <c r="M28" s="19"/>
      <c r="N28" s="19"/>
      <c r="O28" s="19"/>
      <c r="AM28" s="9" t="s">
        <v>196</v>
      </c>
      <c r="AN28" s="9"/>
      <c r="AO28" s="9"/>
      <c r="AP28" s="9"/>
      <c r="AQ28" s="9"/>
      <c r="AR28" s="9"/>
      <c r="AS28" s="9"/>
      <c r="AT28" s="9"/>
      <c r="AU28" s="9"/>
      <c r="AV28" s="9"/>
      <c r="AW28" s="9"/>
      <c r="AX28" s="9">
        <f ca="1">YEAR(TODAY())</f>
        <v>2025</v>
      </c>
      <c r="AY28" s="10">
        <f>DATE('Generelt om prosjektet'!C26,1,1)</f>
        <v>46023</v>
      </c>
      <c r="AZ28" s="9">
        <f>YEAR(AY28)</f>
        <v>2026</v>
      </c>
      <c r="BA28" s="9"/>
    </row>
    <row r="29" spans="3:67">
      <c r="C29" s="51" t="s">
        <v>197</v>
      </c>
      <c r="D29" s="51"/>
      <c r="E29" s="51" t="s">
        <v>198</v>
      </c>
      <c r="F29" s="51" t="s">
        <v>172</v>
      </c>
      <c r="G29" s="212" t="s">
        <v>93</v>
      </c>
      <c r="H29" s="213"/>
      <c r="I29" s="213"/>
      <c r="J29" s="169"/>
      <c r="K29" s="19"/>
      <c r="L29" s="19"/>
      <c r="M29" s="19"/>
      <c r="N29" s="19"/>
      <c r="O29" s="19"/>
      <c r="U29" s="2" t="s">
        <v>199</v>
      </c>
      <c r="V29" s="9">
        <f>SUM(E19:F22)</f>
        <v>0</v>
      </c>
      <c r="W29" s="9">
        <f>SUM(G19:J22)</f>
        <v>0</v>
      </c>
      <c r="X29" s="9">
        <f>SUM(I19:J22)</f>
        <v>0</v>
      </c>
      <c r="AM29" s="9" t="s">
        <v>200</v>
      </c>
      <c r="AN29" s="9"/>
      <c r="AO29" s="9"/>
      <c r="AP29" s="9"/>
      <c r="AQ29" s="9"/>
      <c r="AR29" s="9"/>
      <c r="AS29" s="9"/>
      <c r="AT29" s="9"/>
      <c r="AU29" s="9"/>
      <c r="AV29" s="9"/>
      <c r="AW29" s="9"/>
      <c r="AX29" s="9">
        <f ca="1">IF(AZ28&gt;AX28,AZ28,AX28)</f>
        <v>2026</v>
      </c>
      <c r="AY29" s="9"/>
      <c r="AZ29" s="9"/>
      <c r="BA29" s="9"/>
    </row>
    <row r="30" spans="3:67" ht="25.5">
      <c r="C30" s="153" t="s">
        <v>201</v>
      </c>
      <c r="D30" s="214" t="s">
        <v>202</v>
      </c>
      <c r="E30" s="142">
        <v>1.95</v>
      </c>
      <c r="F30" s="153" t="s">
        <v>203</v>
      </c>
      <c r="G30" s="321"/>
      <c r="H30" s="322"/>
      <c r="I30" s="322"/>
      <c r="J30" s="323"/>
      <c r="U30" s="2" t="s">
        <v>204</v>
      </c>
      <c r="V30" s="9">
        <f>SUM(E23:H24)</f>
        <v>0</v>
      </c>
      <c r="W30" s="9"/>
      <c r="X30" s="9"/>
      <c r="AM30" s="9" t="s">
        <v>205</v>
      </c>
      <c r="AN30" s="9"/>
      <c r="AO30" s="9"/>
      <c r="AP30" s="9"/>
      <c r="AQ30" s="9"/>
      <c r="AR30" s="9"/>
      <c r="AS30" s="9"/>
      <c r="AT30" s="9"/>
      <c r="AU30" s="9"/>
      <c r="AV30" s="9"/>
      <c r="AW30" s="9"/>
      <c r="AX30" s="10">
        <f>DATE(I27,1,1)</f>
        <v>1</v>
      </c>
      <c r="AY30" s="9"/>
      <c r="AZ30" s="9">
        <f>IF(I27="",0,YEAR(AX30))</f>
        <v>0</v>
      </c>
      <c r="BA30" s="9"/>
    </row>
    <row r="31" spans="3:67">
      <c r="C31" s="19"/>
      <c r="D31" s="19"/>
      <c r="E31" s="19"/>
      <c r="F31" s="19"/>
      <c r="G31" s="328"/>
      <c r="H31" s="328"/>
      <c r="I31" s="328"/>
      <c r="J31" s="328"/>
      <c r="AM31" s="9" t="s">
        <v>206</v>
      </c>
      <c r="AN31" s="9"/>
      <c r="AO31" s="9"/>
      <c r="AP31" s="9"/>
      <c r="AQ31" s="9"/>
      <c r="AR31" s="9"/>
      <c r="AS31" s="9"/>
      <c r="AT31" s="9"/>
      <c r="AU31" s="9"/>
      <c r="AV31" s="9"/>
      <c r="AW31" s="9"/>
      <c r="AX31" s="9">
        <f ca="1">AX29-AZ30</f>
        <v>2026</v>
      </c>
      <c r="AY31" s="9" t="s">
        <v>207</v>
      </c>
      <c r="AZ31" s="9">
        <f>'Generelt om prosjektet'!C24</f>
        <v>50</v>
      </c>
      <c r="BA31" s="9" t="s">
        <v>207</v>
      </c>
    </row>
    <row r="32" spans="3:67">
      <c r="C32" s="19"/>
      <c r="D32" s="19"/>
      <c r="E32" s="19"/>
      <c r="F32" s="19"/>
      <c r="G32" s="328"/>
      <c r="H32" s="328"/>
      <c r="I32" s="328"/>
      <c r="J32" s="328"/>
      <c r="V32" s="2">
        <f>V30+W29+W30</f>
        <v>0</v>
      </c>
      <c r="AM32" s="9" t="s">
        <v>208</v>
      </c>
      <c r="AN32" s="9"/>
      <c r="AO32" s="9"/>
      <c r="AP32" s="9"/>
      <c r="AQ32" s="9"/>
      <c r="AR32" s="9"/>
      <c r="AS32" s="9"/>
      <c r="AT32" s="9"/>
      <c r="AU32" s="9"/>
      <c r="AV32" s="9"/>
      <c r="AW32" s="9"/>
      <c r="AX32" s="9">
        <f ca="1">'Generelt om prosjektet'!C24-AX31</f>
        <v>-1976</v>
      </c>
      <c r="AY32" s="9" t="s">
        <v>207</v>
      </c>
      <c r="AZ32" s="9"/>
      <c r="BA32" s="9"/>
    </row>
    <row r="33" spans="3:53" ht="15" thickBot="1">
      <c r="C33" s="215" t="s">
        <v>209</v>
      </c>
      <c r="D33" s="51" t="s">
        <v>4</v>
      </c>
      <c r="E33" s="51" t="s">
        <v>210</v>
      </c>
      <c r="F33" s="51" t="s">
        <v>172</v>
      </c>
      <c r="G33" s="212" t="s">
        <v>93</v>
      </c>
      <c r="H33" s="213"/>
      <c r="I33" s="213"/>
      <c r="J33" s="169"/>
      <c r="AE33" s="158" t="s">
        <v>211</v>
      </c>
      <c r="AF33" s="159"/>
      <c r="AG33" s="160"/>
      <c r="AM33" s="9" t="s">
        <v>212</v>
      </c>
      <c r="AX33" s="216">
        <f ca="1">IF($AX$31&lt;$AZ$31,AX26/$AZ$31*$AX$32,0)</f>
        <v>0</v>
      </c>
      <c r="AY33" s="216">
        <f ca="1">IF($AX$31&lt;$AZ$31,AY26/$AZ$31*$AX$32,0)</f>
        <v>0</v>
      </c>
      <c r="AZ33" s="216">
        <f ca="1">IF($AX$31&lt;$AZ$31,AZ26/$AZ$31*$AX$32,0)</f>
        <v>0</v>
      </c>
      <c r="BA33" s="216">
        <f ca="1">IF($AX$31&lt;$AZ$31,BA26/$AZ$31*$AX$32,0)</f>
        <v>0</v>
      </c>
    </row>
    <row r="34" spans="3:53">
      <c r="C34" s="20" t="s">
        <v>213</v>
      </c>
      <c r="D34" s="20" t="s">
        <v>214</v>
      </c>
      <c r="E34" s="140"/>
      <c r="F34" s="20" t="s">
        <v>215</v>
      </c>
      <c r="G34" s="315"/>
      <c r="H34" s="315"/>
      <c r="I34" s="315"/>
      <c r="J34" s="315"/>
      <c r="AE34" s="9"/>
      <c r="AF34" s="9"/>
      <c r="AG34" s="9"/>
      <c r="AI34" s="9" t="s">
        <v>216</v>
      </c>
      <c r="AJ34" s="9">
        <f t="shared" ref="AJ34:AJ43" ca="1" si="18">SUMIF($L$19:$M$24,AI34,$M$19:$M$24)</f>
        <v>0</v>
      </c>
      <c r="AK34" s="2" t="s">
        <v>217</v>
      </c>
    </row>
    <row r="35" spans="3:53">
      <c r="C35" s="20" t="s">
        <v>218</v>
      </c>
      <c r="D35" s="20" t="s">
        <v>219</v>
      </c>
      <c r="E35" s="140"/>
      <c r="F35" s="20" t="s">
        <v>215</v>
      </c>
      <c r="G35" s="315"/>
      <c r="H35" s="315"/>
      <c r="I35" s="315"/>
      <c r="J35" s="315"/>
      <c r="AE35" s="9" t="s">
        <v>196</v>
      </c>
      <c r="AF35" s="9">
        <f>'Generelt om prosjektet'!C24</f>
        <v>50</v>
      </c>
      <c r="AG35" s="9"/>
      <c r="AI35" s="9" t="s">
        <v>220</v>
      </c>
      <c r="AJ35" s="9">
        <f t="shared" ca="1" si="18"/>
        <v>0</v>
      </c>
      <c r="AM35" s="158" t="s">
        <v>221</v>
      </c>
      <c r="AN35" s="159"/>
      <c r="AO35" s="159"/>
      <c r="AP35" s="159"/>
      <c r="AQ35" s="159"/>
      <c r="AR35" s="159"/>
      <c r="AS35" s="159"/>
      <c r="AT35" s="160"/>
    </row>
    <row r="36" spans="3:53">
      <c r="C36" s="20" t="s">
        <v>222</v>
      </c>
      <c r="D36" s="144"/>
      <c r="E36" s="143"/>
      <c r="F36" s="20" t="s">
        <v>215</v>
      </c>
      <c r="G36" s="315"/>
      <c r="H36" s="315"/>
      <c r="I36" s="315"/>
      <c r="J36" s="315"/>
      <c r="AE36" s="9" t="str">
        <f>C34</f>
        <v>Beregnet levert strøm</v>
      </c>
      <c r="AF36" s="66">
        <f>E34*Utslippsdata!C76*$AF$35/1000</f>
        <v>0</v>
      </c>
      <c r="AG36" s="9" t="s">
        <v>223</v>
      </c>
      <c r="AI36" s="9" t="s">
        <v>224</v>
      </c>
      <c r="AJ36" s="9">
        <f t="shared" ca="1" si="18"/>
        <v>0</v>
      </c>
      <c r="AK36" s="2" t="s">
        <v>225</v>
      </c>
      <c r="AM36" s="2">
        <f>'Generelt om prosjektet'!C24</f>
        <v>50</v>
      </c>
      <c r="AN36" s="2" t="s">
        <v>207</v>
      </c>
      <c r="AO36" s="406" t="s">
        <v>226</v>
      </c>
      <c r="AP36" s="406"/>
      <c r="AQ36" s="406"/>
      <c r="AR36" s="406"/>
      <c r="AS36" s="406"/>
      <c r="AT36" s="406"/>
    </row>
    <row r="37" spans="3:53" ht="15">
      <c r="C37" s="20" t="s">
        <v>227</v>
      </c>
      <c r="D37" s="20" t="s">
        <v>228</v>
      </c>
      <c r="E37" s="130"/>
      <c r="F37" s="20" t="s">
        <v>229</v>
      </c>
      <c r="G37" s="315"/>
      <c r="H37" s="315"/>
      <c r="I37" s="315"/>
      <c r="J37" s="315"/>
      <c r="AE37" s="9" t="str">
        <f>C35</f>
        <v>Beregnet levert fjernvarme</v>
      </c>
      <c r="AF37" s="66">
        <f>E35*Utslippsdata!C80*$AF$35/1000</f>
        <v>0</v>
      </c>
      <c r="AG37" s="9" t="s">
        <v>223</v>
      </c>
      <c r="AI37" s="9" t="s">
        <v>230</v>
      </c>
      <c r="AJ37" s="9">
        <f t="shared" ca="1" si="18"/>
        <v>0</v>
      </c>
      <c r="AM37" s="24"/>
      <c r="AN37" s="24" t="s">
        <v>231</v>
      </c>
      <c r="AO37" s="24" t="s">
        <v>232</v>
      </c>
      <c r="AP37" s="24" t="s">
        <v>233</v>
      </c>
      <c r="AQ37" s="24" t="s">
        <v>234</v>
      </c>
      <c r="AR37" s="24" t="s">
        <v>235</v>
      </c>
      <c r="AS37" s="24" t="s">
        <v>236</v>
      </c>
      <c r="AT37" s="24" t="s">
        <v>237</v>
      </c>
      <c r="AW37" s="74"/>
    </row>
    <row r="38" spans="3:53" ht="15" thickBot="1">
      <c r="C38" s="20" t="s">
        <v>238</v>
      </c>
      <c r="D38" s="20" t="s">
        <v>238</v>
      </c>
      <c r="E38" s="140"/>
      <c r="F38" s="20" t="s">
        <v>239</v>
      </c>
      <c r="G38" s="315"/>
      <c r="H38" s="315"/>
      <c r="I38" s="315"/>
      <c r="J38" s="315"/>
      <c r="V38" s="158" t="s">
        <v>240</v>
      </c>
      <c r="W38" s="159"/>
      <c r="X38" s="159"/>
      <c r="Y38" s="160"/>
      <c r="AE38" s="9" t="str">
        <f>C36</f>
        <v>Annen kilde, spesifiser</v>
      </c>
      <c r="AF38" s="66">
        <f>E36*E37*$AF$35/1000</f>
        <v>0</v>
      </c>
      <c r="AG38" s="9" t="s">
        <v>223</v>
      </c>
      <c r="AI38" s="9" t="s">
        <v>241</v>
      </c>
      <c r="AJ38" s="9">
        <f t="shared" ca="1" si="18"/>
        <v>0</v>
      </c>
      <c r="AK38" s="2" t="s">
        <v>242</v>
      </c>
      <c r="AM38" s="9" t="s">
        <v>243</v>
      </c>
      <c r="AN38" s="9">
        <f t="shared" ref="AN38:AN48" si="19">SUMIF($D$19:$D$24,AM38,$E$19:$E$24)+SUMIF($D$19:$D$24,AM38,$G$19:$G$24)</f>
        <v>0</v>
      </c>
      <c r="AO38" s="14">
        <f>IFERROR(Utslippsdata!C114+800/AN38,0)*AN38</f>
        <v>0</v>
      </c>
      <c r="AP38" s="14">
        <f>IFERROR(120+1600/AN38,0)*AN38</f>
        <v>0</v>
      </c>
      <c r="AQ38" s="14">
        <f>IFERROR(145+2500/AN38,0)*AN38</f>
        <v>0</v>
      </c>
      <c r="AR38" s="14">
        <f>IFERROR(175+4100/AN38,0)*AN38</f>
        <v>0</v>
      </c>
      <c r="AS38" s="14">
        <f>IFERROR(205+5800/AN38,0)*AN38</f>
        <v>0</v>
      </c>
      <c r="AT38" s="14">
        <f>IFERROR(250+8000/AN38,0)*AN38</f>
        <v>0</v>
      </c>
    </row>
    <row r="39" spans="3:53">
      <c r="C39" s="20" t="s">
        <v>244</v>
      </c>
      <c r="D39" s="20" t="s">
        <v>245</v>
      </c>
      <c r="E39" s="140"/>
      <c r="F39" s="20" t="s">
        <v>215</v>
      </c>
      <c r="G39" s="315"/>
      <c r="H39" s="315"/>
      <c r="I39" s="315"/>
      <c r="J39" s="315"/>
      <c r="V39" s="9" t="s">
        <v>246</v>
      </c>
      <c r="W39" s="9"/>
      <c r="X39" s="9"/>
      <c r="Y39" s="9" t="s">
        <v>247</v>
      </c>
      <c r="Z39" s="12"/>
      <c r="AA39" s="218" t="s">
        <v>100</v>
      </c>
      <c r="AB39" s="6"/>
      <c r="AE39" s="9" t="str">
        <f>C39</f>
        <v>Levert strøm fra solceller</v>
      </c>
      <c r="AF39" s="66">
        <f>E39*Utslippsdata!C76*$AF$35/1000</f>
        <v>0</v>
      </c>
      <c r="AG39" s="9" t="s">
        <v>223</v>
      </c>
      <c r="AI39" s="9" t="s">
        <v>248</v>
      </c>
      <c r="AJ39" s="9">
        <f t="shared" ca="1" si="18"/>
        <v>0</v>
      </c>
      <c r="AK39" s="2" t="s">
        <v>249</v>
      </c>
      <c r="AM39" s="9" t="s">
        <v>185</v>
      </c>
      <c r="AN39" s="9">
        <f t="shared" si="19"/>
        <v>0</v>
      </c>
      <c r="AO39" s="14">
        <f>IFERROR(85+600/AN39,0)*AN39</f>
        <v>0</v>
      </c>
      <c r="AP39" s="14">
        <f>IFERROR(95+1000/AN39,0)*AN39</f>
        <v>0</v>
      </c>
      <c r="AQ39" s="14">
        <f>IFERROR(110+1500/AN39,0)*AN39</f>
        <v>0</v>
      </c>
      <c r="AR39" s="14">
        <f>IFERROR(135+2200/AN39,0)*AN39</f>
        <v>0</v>
      </c>
      <c r="AS39" s="14">
        <f>IFERROR(160+3000/AN39,0)*AN39</f>
        <v>0</v>
      </c>
      <c r="AT39" s="14">
        <f>IFERROR(200+4000/AN39,0)*AN39</f>
        <v>0</v>
      </c>
    </row>
    <row r="40" spans="3:53">
      <c r="C40" s="19"/>
      <c r="D40" s="19"/>
      <c r="E40" s="19"/>
      <c r="F40" s="19"/>
      <c r="G40" s="19"/>
      <c r="H40" s="19"/>
      <c r="I40" s="19"/>
      <c r="J40" s="19"/>
      <c r="V40" s="9">
        <f>IF(OR(D19=AK135,D20=AK135,D21=AK135,D22=AK135),1,0)</f>
        <v>0</v>
      </c>
      <c r="W40" s="9"/>
      <c r="X40" s="9">
        <v>1.95</v>
      </c>
      <c r="Y40" s="9">
        <f>IF(E30="",X40,E30)</f>
        <v>1.95</v>
      </c>
      <c r="AA40" s="185" t="s">
        <v>250</v>
      </c>
      <c r="AE40" s="9" t="s">
        <v>251</v>
      </c>
      <c r="AF40" s="66">
        <f>E38*(Utslippsdata!B107+Utslippsdata!C107+Utslippsdata!D107+Utslippsdata!E107+Utslippsdata!F107)/1000</f>
        <v>0</v>
      </c>
      <c r="AG40" s="9" t="s">
        <v>223</v>
      </c>
      <c r="AI40" s="9" t="s">
        <v>252</v>
      </c>
      <c r="AJ40" s="9">
        <f t="shared" ca="1" si="18"/>
        <v>0</v>
      </c>
      <c r="AK40" s="2" t="s">
        <v>253</v>
      </c>
      <c r="AM40" s="9" t="s">
        <v>254</v>
      </c>
      <c r="AN40" s="9">
        <f t="shared" si="19"/>
        <v>0</v>
      </c>
      <c r="AO40" s="14">
        <f>$AN40*Utslippsdata!C118</f>
        <v>0</v>
      </c>
      <c r="AP40" s="14">
        <f>$AN40*Utslippsdata!D118</f>
        <v>0</v>
      </c>
      <c r="AQ40" s="14">
        <f>$AN40*Utslippsdata!E118</f>
        <v>0</v>
      </c>
      <c r="AR40" s="14">
        <f>$AN40*Utslippsdata!F118</f>
        <v>0</v>
      </c>
      <c r="AS40" s="14">
        <f>$AN40*Utslippsdata!G118</f>
        <v>0</v>
      </c>
      <c r="AT40" s="14">
        <f>$AN40*Utslippsdata!H118</f>
        <v>0</v>
      </c>
    </row>
    <row r="41" spans="3:53">
      <c r="C41" s="20" t="s">
        <v>255</v>
      </c>
      <c r="D41" s="130" t="s">
        <v>250</v>
      </c>
      <c r="E41" s="19"/>
      <c r="F41" s="19"/>
      <c r="G41" s="19"/>
      <c r="H41" s="19"/>
      <c r="I41" s="19"/>
      <c r="J41" s="19"/>
      <c r="AA41" s="185" t="s">
        <v>256</v>
      </c>
      <c r="AI41" s="9" t="s">
        <v>257</v>
      </c>
      <c r="AJ41" s="9">
        <f t="shared" ca="1" si="18"/>
        <v>0</v>
      </c>
      <c r="AK41" s="2" t="s">
        <v>258</v>
      </c>
      <c r="AM41" s="9" t="s">
        <v>183</v>
      </c>
      <c r="AN41" s="9">
        <f t="shared" si="19"/>
        <v>0</v>
      </c>
      <c r="AO41" s="14">
        <f>$AN41*Utslippsdata!C119</f>
        <v>0</v>
      </c>
      <c r="AP41" s="14">
        <f>$AN41*Utslippsdata!D119</f>
        <v>0</v>
      </c>
      <c r="AQ41" s="14">
        <f>$AN41*Utslippsdata!E119</f>
        <v>0</v>
      </c>
      <c r="AR41" s="14">
        <f>$AN41*Utslippsdata!F119</f>
        <v>0</v>
      </c>
      <c r="AS41" s="14">
        <f>$AN41*Utslippsdata!G119</f>
        <v>0</v>
      </c>
      <c r="AT41" s="14">
        <f>$AN41*Utslippsdata!H119</f>
        <v>0</v>
      </c>
    </row>
    <row r="42" spans="3:53">
      <c r="C42" s="19"/>
      <c r="D42" s="19"/>
      <c r="E42" s="19"/>
      <c r="F42" s="19"/>
      <c r="G42" s="19"/>
      <c r="H42" s="19"/>
      <c r="I42" s="19"/>
      <c r="J42" s="19"/>
      <c r="AA42" s="185" t="s">
        <v>101</v>
      </c>
      <c r="AE42" s="219" t="s">
        <v>259</v>
      </c>
      <c r="AF42" s="219"/>
      <c r="AI42" s="9" t="s">
        <v>260</v>
      </c>
      <c r="AJ42" s="9">
        <f t="shared" ca="1" si="18"/>
        <v>0</v>
      </c>
      <c r="AK42" s="2" t="s">
        <v>261</v>
      </c>
      <c r="AM42" s="9" t="s">
        <v>262</v>
      </c>
      <c r="AN42" s="9">
        <f t="shared" si="19"/>
        <v>0</v>
      </c>
      <c r="AO42" s="14">
        <f>$AN42*Utslippsdata!C120</f>
        <v>0</v>
      </c>
      <c r="AP42" s="14">
        <f>$AN42*Utslippsdata!D120</f>
        <v>0</v>
      </c>
      <c r="AQ42" s="14">
        <f>$AN42*Utslippsdata!E120</f>
        <v>0</v>
      </c>
      <c r="AR42" s="14">
        <f>$AN42*Utslippsdata!F120</f>
        <v>0</v>
      </c>
      <c r="AS42" s="14">
        <f>$AN42*Utslippsdata!G120</f>
        <v>0</v>
      </c>
      <c r="AT42" s="14">
        <f>$AN42*Utslippsdata!H120</f>
        <v>0</v>
      </c>
    </row>
    <row r="43" spans="3:53">
      <c r="C43" s="51" t="s">
        <v>263</v>
      </c>
      <c r="D43" s="51"/>
      <c r="E43" s="51" t="s">
        <v>264</v>
      </c>
      <c r="F43" s="212" t="s">
        <v>93</v>
      </c>
      <c r="G43" s="213"/>
      <c r="H43" s="213"/>
      <c r="I43" s="213"/>
      <c r="J43" s="169"/>
      <c r="AA43" s="220"/>
      <c r="AE43" s="219" t="s">
        <v>265</v>
      </c>
      <c r="AF43" s="219"/>
      <c r="AI43" s="9" t="s">
        <v>266</v>
      </c>
      <c r="AJ43" s="9">
        <f t="shared" ca="1" si="18"/>
        <v>0</v>
      </c>
      <c r="AM43" s="9" t="s">
        <v>267</v>
      </c>
      <c r="AN43" s="9">
        <f t="shared" si="19"/>
        <v>0</v>
      </c>
      <c r="AO43" s="14">
        <f>$AN43*Utslippsdata!C121</f>
        <v>0</v>
      </c>
      <c r="AP43" s="14">
        <f>$AN43*Utslippsdata!D121</f>
        <v>0</v>
      </c>
      <c r="AQ43" s="14">
        <f>$AN43*Utslippsdata!E121</f>
        <v>0</v>
      </c>
      <c r="AR43" s="14">
        <f>$AN43*Utslippsdata!F121</f>
        <v>0</v>
      </c>
      <c r="AS43" s="14">
        <f>$AN43*Utslippsdata!G121</f>
        <v>0</v>
      </c>
      <c r="AT43" s="14">
        <f>$AN43*Utslippsdata!H121</f>
        <v>0</v>
      </c>
    </row>
    <row r="44" spans="3:53" ht="14.25" customHeight="1">
      <c r="C44" s="178" t="s">
        <v>268</v>
      </c>
      <c r="D44" s="208"/>
      <c r="E44" s="130" t="s">
        <v>269</v>
      </c>
      <c r="F44" s="315"/>
      <c r="G44" s="315"/>
      <c r="H44" s="315"/>
      <c r="I44" s="315"/>
      <c r="J44" s="315"/>
      <c r="V44" s="219" t="s">
        <v>270</v>
      </c>
      <c r="AA44" s="220"/>
      <c r="AE44" s="66">
        <f>D54*Utslippsdata!C146</f>
        <v>0</v>
      </c>
      <c r="AF44" s="9" t="s">
        <v>271</v>
      </c>
      <c r="AM44" s="9" t="s">
        <v>272</v>
      </c>
      <c r="AN44" s="9">
        <f t="shared" si="19"/>
        <v>0</v>
      </c>
      <c r="AO44" s="14">
        <f>$AN44*Utslippsdata!C122</f>
        <v>0</v>
      </c>
      <c r="AP44" s="14">
        <f>$AN44*Utslippsdata!D122</f>
        <v>0</v>
      </c>
      <c r="AQ44" s="14">
        <f>$AN44*Utslippsdata!E122</f>
        <v>0</v>
      </c>
      <c r="AR44" s="14">
        <f>$AN44*Utslippsdata!F122</f>
        <v>0</v>
      </c>
      <c r="AS44" s="14">
        <f>$AN44*Utslippsdata!G122</f>
        <v>0</v>
      </c>
      <c r="AT44" s="14">
        <f>$AN44*Utslippsdata!H122</f>
        <v>0</v>
      </c>
    </row>
    <row r="45" spans="3:53">
      <c r="C45" s="221" t="str">
        <f>IF(E44=Ja,"","*Hvis nei inkluderes utslipp i beregningene basert på oppgitt areal og standard utslippstall for solceller, inverter, kabler, festesystem og ballast")</f>
        <v>*Hvis nei inkluderes utslipp i beregningene basert på oppgitt areal og standard utslippstall for solceller, inverter, kabler, festesystem og ballast</v>
      </c>
      <c r="D45" s="19"/>
      <c r="E45" s="19"/>
      <c r="F45" s="19"/>
      <c r="G45" s="19"/>
      <c r="H45" s="19"/>
      <c r="I45" s="19"/>
      <c r="J45" s="19"/>
      <c r="V45" s="9" t="s">
        <v>273</v>
      </c>
      <c r="AA45" s="185" t="s">
        <v>274</v>
      </c>
      <c r="AE45" s="66">
        <f>D55*Utslippsdata!C147</f>
        <v>0</v>
      </c>
      <c r="AF45" s="9" t="s">
        <v>271</v>
      </c>
      <c r="AI45" s="2" t="s">
        <v>275</v>
      </c>
      <c r="AJ45" s="2">
        <v>1.95</v>
      </c>
      <c r="AM45" s="9" t="s">
        <v>276</v>
      </c>
      <c r="AN45" s="9">
        <f t="shared" si="19"/>
        <v>0</v>
      </c>
      <c r="AO45" s="14">
        <f>$AN45*Utslippsdata!C123</f>
        <v>0</v>
      </c>
      <c r="AP45" s="14">
        <f>$AN45*Utslippsdata!D123</f>
        <v>0</v>
      </c>
      <c r="AQ45" s="14">
        <f>$AN45*Utslippsdata!E123</f>
        <v>0</v>
      </c>
      <c r="AR45" s="14">
        <f>$AN45*Utslippsdata!F123</f>
        <v>0</v>
      </c>
      <c r="AS45" s="14">
        <f>$AN45*Utslippsdata!G123</f>
        <v>0</v>
      </c>
      <c r="AT45" s="14">
        <f>$AN45*Utslippsdata!H123</f>
        <v>0</v>
      </c>
    </row>
    <row r="46" spans="3:53" ht="15" customHeight="1">
      <c r="C46" s="221" t="str">
        <f>IF(E44=Nei,"","*Hvis ja skal materialutslipp fra solceller, inverter, kabler, festesystem og ballast inkluderes i A1-A3, A4, A5, B1-B5 (antatt 30 år levetid) og C1-C4 inkluderes i resultattabell under")</f>
        <v/>
      </c>
      <c r="D46" s="19"/>
      <c r="E46" s="19"/>
      <c r="F46" s="19"/>
      <c r="G46" s="19"/>
      <c r="H46" s="19"/>
      <c r="I46" s="19"/>
      <c r="J46" s="19"/>
      <c r="V46" s="9">
        <f>IF(E38&gt;0,1,0)</f>
        <v>0</v>
      </c>
      <c r="AA46" s="185" t="s">
        <v>277</v>
      </c>
      <c r="AE46" s="66">
        <f>D56*Utslippsdata!C148</f>
        <v>0</v>
      </c>
      <c r="AF46" s="9" t="s">
        <v>271</v>
      </c>
      <c r="AI46" s="2" t="s">
        <v>278</v>
      </c>
      <c r="AJ46" s="2">
        <f>IF((OR(E30=0,E30="")),AJ45,E30)</f>
        <v>1.95</v>
      </c>
      <c r="AM46" s="9" t="s">
        <v>279</v>
      </c>
      <c r="AN46" s="9">
        <f t="shared" si="19"/>
        <v>0</v>
      </c>
      <c r="AO46" s="14">
        <f>$AN46*Utslippsdata!C124</f>
        <v>0</v>
      </c>
      <c r="AP46" s="14">
        <f>$AN46*Utslippsdata!D124</f>
        <v>0</v>
      </c>
      <c r="AQ46" s="14">
        <f>$AN46*Utslippsdata!E124</f>
        <v>0</v>
      </c>
      <c r="AR46" s="14">
        <f>$AN46*Utslippsdata!F124</f>
        <v>0</v>
      </c>
      <c r="AS46" s="14">
        <f>$AN46*Utslippsdata!G124</f>
        <v>0</v>
      </c>
      <c r="AT46" s="14">
        <f>$AN46*Utslippsdata!H124</f>
        <v>0</v>
      </c>
    </row>
    <row r="47" spans="3:53" ht="15" customHeight="1" thickBot="1">
      <c r="C47" s="19"/>
      <c r="D47" s="19"/>
      <c r="E47" s="19"/>
      <c r="F47" s="19"/>
      <c r="G47" s="19"/>
      <c r="H47" s="19"/>
      <c r="I47" s="19"/>
      <c r="J47" s="19"/>
      <c r="AA47" s="222" t="s">
        <v>269</v>
      </c>
      <c r="AE47" s="66">
        <f>D57*Utslippsdata!C149</f>
        <v>0</v>
      </c>
      <c r="AF47" s="9" t="s">
        <v>271</v>
      </c>
      <c r="AI47"/>
      <c r="AM47" s="9" t="s">
        <v>280</v>
      </c>
      <c r="AN47" s="9">
        <f t="shared" si="19"/>
        <v>0</v>
      </c>
      <c r="AO47" s="14">
        <f>$AN47*Utslippsdata!C125</f>
        <v>0</v>
      </c>
      <c r="AP47" s="14">
        <f>$AN47*Utslippsdata!D125</f>
        <v>0</v>
      </c>
      <c r="AQ47" s="14">
        <f>$AN47*Utslippsdata!E125</f>
        <v>0</v>
      </c>
      <c r="AR47" s="14">
        <f>$AN47*Utslippsdata!F125</f>
        <v>0</v>
      </c>
      <c r="AS47" s="14">
        <f>$AN47*Utslippsdata!G125</f>
        <v>0</v>
      </c>
      <c r="AT47" s="14">
        <f>$AN47*Utslippsdata!H125</f>
        <v>0</v>
      </c>
    </row>
    <row r="48" spans="3:53" ht="15" customHeight="1">
      <c r="C48" s="215" t="s">
        <v>281</v>
      </c>
      <c r="D48" s="352" t="s">
        <v>282</v>
      </c>
      <c r="E48" s="353" t="s">
        <v>283</v>
      </c>
      <c r="F48" s="353" t="s">
        <v>172</v>
      </c>
      <c r="G48" s="353" t="s">
        <v>284</v>
      </c>
      <c r="H48" s="353" t="s">
        <v>93</v>
      </c>
      <c r="I48" s="353"/>
      <c r="J48" s="353"/>
      <c r="AE48" s="223">
        <f>SUM(AE44:AE47)/1000</f>
        <v>0</v>
      </c>
      <c r="AF48" s="24" t="s">
        <v>223</v>
      </c>
      <c r="AI48" s="9" t="s">
        <v>285</v>
      </c>
      <c r="AJ48" s="9">
        <f ca="1">ROUND(AJ35*AJ46+AJ39,0)</f>
        <v>0</v>
      </c>
      <c r="AK48" s="2" t="s">
        <v>249</v>
      </c>
      <c r="AM48" s="9" t="s">
        <v>286</v>
      </c>
      <c r="AN48" s="9">
        <f t="shared" si="19"/>
        <v>0</v>
      </c>
      <c r="AO48" s="14">
        <f>$AN48*Utslippsdata!C126</f>
        <v>0</v>
      </c>
      <c r="AP48" s="14">
        <f>$AN48*Utslippsdata!D126</f>
        <v>0</v>
      </c>
      <c r="AQ48" s="14">
        <f>$AN48*Utslippsdata!E126</f>
        <v>0</v>
      </c>
      <c r="AR48" s="14">
        <f>$AN48*Utslippsdata!F126</f>
        <v>0</v>
      </c>
      <c r="AS48" s="14">
        <f>$AN48*Utslippsdata!G126</f>
        <v>0</v>
      </c>
      <c r="AT48" s="14">
        <f>$AN48*Utslippsdata!H126</f>
        <v>0</v>
      </c>
    </row>
    <row r="49" spans="3:46" ht="15">
      <c r="C49" s="51" t="s">
        <v>287</v>
      </c>
      <c r="D49" s="352"/>
      <c r="E49" s="353"/>
      <c r="F49" s="353"/>
      <c r="G49" s="353"/>
      <c r="H49" s="353"/>
      <c r="I49" s="353"/>
      <c r="J49" s="353"/>
      <c r="M49" s="6"/>
      <c r="N49" s="6"/>
      <c r="O49" s="6"/>
      <c r="P49" s="6"/>
      <c r="Q49" s="6"/>
      <c r="R49" s="6"/>
      <c r="S49" s="6"/>
      <c r="T49" s="6"/>
      <c r="U49" s="6"/>
      <c r="AI49"/>
      <c r="AM49" s="81" t="s">
        <v>170</v>
      </c>
      <c r="AN49" s="81"/>
      <c r="AO49" s="224">
        <f t="shared" ref="AO49:AT49" si="20">SUM(AO38:AO48)</f>
        <v>0</v>
      </c>
      <c r="AP49" s="224">
        <f t="shared" si="20"/>
        <v>0</v>
      </c>
      <c r="AQ49" s="224">
        <f t="shared" si="20"/>
        <v>0</v>
      </c>
      <c r="AR49" s="224">
        <f t="shared" si="20"/>
        <v>0</v>
      </c>
      <c r="AS49" s="224">
        <f t="shared" si="20"/>
        <v>0</v>
      </c>
      <c r="AT49" s="224">
        <f t="shared" si="20"/>
        <v>0</v>
      </c>
    </row>
    <row r="50" spans="3:46" ht="15">
      <c r="C50" s="20" t="s">
        <v>288</v>
      </c>
      <c r="D50" s="130">
        <v>50</v>
      </c>
      <c r="E50" s="140">
        <v>0</v>
      </c>
      <c r="F50" s="20" t="s">
        <v>289</v>
      </c>
      <c r="G50" s="130" t="s">
        <v>295</v>
      </c>
      <c r="H50" s="315"/>
      <c r="I50" s="315"/>
      <c r="J50" s="315"/>
      <c r="M50" s="6"/>
      <c r="N50" s="6"/>
      <c r="O50" s="6"/>
      <c r="P50" s="6"/>
      <c r="Q50" s="6"/>
      <c r="R50" s="6"/>
      <c r="S50" s="6"/>
      <c r="T50" s="6"/>
      <c r="U50" s="6"/>
      <c r="V50" s="158" t="s">
        <v>291</v>
      </c>
      <c r="W50" s="159"/>
      <c r="X50" s="159"/>
      <c r="Y50" s="159"/>
      <c r="Z50" s="159"/>
      <c r="AA50" s="160"/>
      <c r="AE50" s="219" t="s">
        <v>292</v>
      </c>
      <c r="AF50" s="219"/>
      <c r="AI50" s="9" t="str">
        <f ca="1">AJ34&amp;" "&amp;AK34</f>
        <v xml:space="preserve">0 arbeidsplasser, </v>
      </c>
      <c r="AJ50" s="2" t="str">
        <f ca="1">IF(AJ34=0,"",AI50)</f>
        <v/>
      </c>
      <c r="AM50" s="225" t="s">
        <v>293</v>
      </c>
      <c r="AN50" s="225"/>
      <c r="AO50" s="226">
        <f>AO49*$AM$36*Utslippsdata!$C$76/1000</f>
        <v>0</v>
      </c>
      <c r="AP50" s="226">
        <f>AP49*$AM$36*Utslippsdata!$C$76/1000</f>
        <v>0</v>
      </c>
      <c r="AQ50" s="226">
        <f>AQ49*$AM$36*Utslippsdata!$C$76/1000</f>
        <v>0</v>
      </c>
      <c r="AR50" s="226">
        <f>AR49*$AM$36*Utslippsdata!$C$76/1000</f>
        <v>0</v>
      </c>
      <c r="AS50" s="226">
        <f>AS49*$AM$36*Utslippsdata!$C$76/1000</f>
        <v>0</v>
      </c>
      <c r="AT50" s="226">
        <f>AT49*$AM$36*Utslippsdata!$C$76/1000</f>
        <v>0</v>
      </c>
    </row>
    <row r="51" spans="3:46">
      <c r="C51" s="20" t="s">
        <v>294</v>
      </c>
      <c r="D51" s="130">
        <v>50</v>
      </c>
      <c r="E51" s="140">
        <v>0</v>
      </c>
      <c r="F51" s="20" t="s">
        <v>289</v>
      </c>
      <c r="G51" s="130" t="s">
        <v>295</v>
      </c>
      <c r="H51" s="312"/>
      <c r="I51" s="313"/>
      <c r="J51" s="314"/>
      <c r="N51" s="6"/>
      <c r="V51" s="227">
        <v>1</v>
      </c>
      <c r="W51" s="227">
        <v>2</v>
      </c>
      <c r="X51" s="227">
        <v>3</v>
      </c>
      <c r="Y51" s="227">
        <v>4</v>
      </c>
      <c r="Z51" s="227">
        <v>5</v>
      </c>
      <c r="AE51" s="9">
        <f>D60*(Utslippsdata!C133+Utslippsdata!$C$136)</f>
        <v>0</v>
      </c>
      <c r="AF51" s="9" t="s">
        <v>271</v>
      </c>
      <c r="AI51" s="9" t="str">
        <f ca="1">AJ36&amp;" "&amp;AK36</f>
        <v xml:space="preserve">0 elevplasser, </v>
      </c>
      <c r="AJ51" s="2" t="str">
        <f ca="1">IF(AJ36=0,"",AI51)</f>
        <v/>
      </c>
    </row>
    <row r="52" spans="3:46">
      <c r="C52" s="19"/>
      <c r="D52" s="19"/>
      <c r="E52" s="19"/>
      <c r="F52" s="19"/>
      <c r="G52" s="19"/>
      <c r="H52" s="19"/>
      <c r="I52" s="19"/>
      <c r="J52" s="19"/>
      <c r="N52" s="6"/>
      <c r="V52" s="228" t="s">
        <v>284</v>
      </c>
      <c r="W52" s="228"/>
      <c r="AE52" s="9">
        <f>D61*(Utslippsdata!C134+Utslippsdata!$C$136)</f>
        <v>0</v>
      </c>
      <c r="AF52" s="9" t="s">
        <v>271</v>
      </c>
      <c r="AI52" s="9" t="str">
        <f ca="1">AJ38&amp;" "&amp;AK38</f>
        <v xml:space="preserve">0 beboere på sykehjem, </v>
      </c>
      <c r="AJ52" s="2" t="str">
        <f ca="1">IF(AJ38=0,"",AI52)</f>
        <v/>
      </c>
    </row>
    <row r="53" spans="3:46">
      <c r="C53" s="51" t="s">
        <v>296</v>
      </c>
      <c r="D53" s="51" t="s">
        <v>64</v>
      </c>
      <c r="E53" s="51" t="s">
        <v>172</v>
      </c>
      <c r="F53" s="212" t="s">
        <v>93</v>
      </c>
      <c r="G53" s="213"/>
      <c r="H53" s="213"/>
      <c r="I53" s="213"/>
      <c r="J53" s="169"/>
      <c r="N53" s="6"/>
      <c r="V53" s="9" t="s">
        <v>295</v>
      </c>
      <c r="W53" s="9"/>
      <c r="Z53" s="229">
        <f>Z54</f>
        <v>0.13887096774193547</v>
      </c>
      <c r="AA53" s="9" t="s">
        <v>297</v>
      </c>
      <c r="AE53" s="9">
        <f>D62*(Utslippsdata!C135+Utslippsdata!$C$136)</f>
        <v>0</v>
      </c>
      <c r="AF53" s="9" t="s">
        <v>271</v>
      </c>
      <c r="AI53" s="9" t="str">
        <f ca="1">AJ40&amp;" "&amp;AK40</f>
        <v xml:space="preserve">0 plasser for barn, </v>
      </c>
      <c r="AJ53" s="2" t="str">
        <f ca="1">IF(AJ40=0,"",AI53)</f>
        <v/>
      </c>
    </row>
    <row r="54" spans="3:46">
      <c r="C54" s="20" t="s">
        <v>298</v>
      </c>
      <c r="D54" s="130"/>
      <c r="E54" s="130" t="s">
        <v>239</v>
      </c>
      <c r="F54" s="312"/>
      <c r="G54" s="313"/>
      <c r="H54" s="313"/>
      <c r="I54" s="313"/>
      <c r="J54" s="314"/>
      <c r="N54" s="6"/>
      <c r="V54" s="9" t="s">
        <v>299</v>
      </c>
      <c r="W54" s="9">
        <v>2.87</v>
      </c>
      <c r="X54" s="2" t="s">
        <v>300</v>
      </c>
      <c r="Z54" s="79">
        <f>W59*W54/W58</f>
        <v>0.13887096774193547</v>
      </c>
      <c r="AA54" s="9" t="s">
        <v>297</v>
      </c>
      <c r="AE54" s="9">
        <f>D63*Utslippsdata!C136</f>
        <v>0</v>
      </c>
      <c r="AF54" s="9" t="s">
        <v>271</v>
      </c>
      <c r="AI54" s="9" t="str">
        <f ca="1">AJ41&amp;" "&amp;AK41</f>
        <v xml:space="preserve">0 besøkende pr år, </v>
      </c>
      <c r="AJ54" s="2" t="str">
        <f ca="1">IF(AJ41=0,"",AI54)</f>
        <v/>
      </c>
    </row>
    <row r="55" spans="3:46">
      <c r="C55" s="20" t="s">
        <v>301</v>
      </c>
      <c r="D55" s="130"/>
      <c r="E55" s="130" t="s">
        <v>239</v>
      </c>
      <c r="F55" s="312"/>
      <c r="G55" s="313"/>
      <c r="H55" s="313"/>
      <c r="I55" s="313"/>
      <c r="J55" s="314"/>
      <c r="N55" s="6"/>
      <c r="V55" s="9" t="s">
        <v>290</v>
      </c>
      <c r="W55" s="9"/>
      <c r="Z55" s="79">
        <f>W59*W60*Utslippsdata!C78/W58</f>
        <v>5.0112597937020005E-3</v>
      </c>
      <c r="AA55" s="9" t="s">
        <v>297</v>
      </c>
      <c r="AE55" s="9">
        <f>D64*Utslippsdata!C140</f>
        <v>0</v>
      </c>
      <c r="AF55" s="9" t="s">
        <v>271</v>
      </c>
      <c r="AI55" s="9" t="str">
        <f ca="1">AJ42&amp;" "&amp;AK42</f>
        <v xml:space="preserve">0 hotellsenger, </v>
      </c>
      <c r="AJ55" s="2" t="str">
        <f ca="1">IF(AJ42=0,"",AI55)</f>
        <v/>
      </c>
    </row>
    <row r="56" spans="3:46">
      <c r="C56" s="20" t="s">
        <v>302</v>
      </c>
      <c r="D56" s="130"/>
      <c r="E56" s="130" t="s">
        <v>239</v>
      </c>
      <c r="F56" s="312"/>
      <c r="G56" s="313"/>
      <c r="H56" s="313"/>
      <c r="I56" s="313"/>
      <c r="J56" s="314"/>
      <c r="N56" s="6"/>
      <c r="V56" s="9" t="s">
        <v>303</v>
      </c>
      <c r="W56" s="9">
        <v>1.462518</v>
      </c>
      <c r="X56" s="2" t="s">
        <v>304</v>
      </c>
      <c r="Z56" s="79">
        <f>W61*W63*W56/W58</f>
        <v>7.2654119999999989E-2</v>
      </c>
      <c r="AA56" s="9" t="s">
        <v>297</v>
      </c>
      <c r="AE56" s="9">
        <f>D65*Utslippsdata!C141</f>
        <v>0</v>
      </c>
      <c r="AF56" s="9" t="s">
        <v>271</v>
      </c>
      <c r="AI56" s="230" t="str">
        <f ca="1">AJ48&amp;" "&amp;AK48</f>
        <v xml:space="preserve">0 bosatte, </v>
      </c>
      <c r="AJ56" s="2" t="str">
        <f ca="1">IF(AJ48=0,"",AI56)</f>
        <v/>
      </c>
      <c r="AN56" s="158" t="s">
        <v>305</v>
      </c>
      <c r="AO56" s="159"/>
      <c r="AP56" s="159"/>
      <c r="AQ56" s="159"/>
      <c r="AR56" s="160"/>
    </row>
    <row r="57" spans="3:46">
      <c r="C57" s="20" t="s">
        <v>306</v>
      </c>
      <c r="D57" s="130"/>
      <c r="E57" s="130" t="s">
        <v>239</v>
      </c>
      <c r="F57" s="312"/>
      <c r="G57" s="313"/>
      <c r="H57" s="313"/>
      <c r="I57" s="313"/>
      <c r="J57" s="314"/>
      <c r="N57" s="6"/>
      <c r="AE57" s="9">
        <f>D66*Utslippsdata!C142</f>
        <v>0</v>
      </c>
      <c r="AF57" s="9" t="s">
        <v>271</v>
      </c>
      <c r="AI57" s="81" t="str">
        <f ca="1">AJ50&amp;AJ51&amp;AJ52&amp;AJ53&amp;AJ54&amp;AJ55&amp;AJ56</f>
        <v/>
      </c>
      <c r="AJ57" s="81"/>
    </row>
    <row r="58" spans="3:46" ht="15">
      <c r="C58" s="19"/>
      <c r="D58" s="19"/>
      <c r="E58" s="19"/>
      <c r="F58" s="19"/>
      <c r="G58" s="19"/>
      <c r="H58" s="19"/>
      <c r="I58" s="19"/>
      <c r="J58" s="19"/>
      <c r="N58" s="6"/>
      <c r="V58" s="9" t="s">
        <v>307</v>
      </c>
      <c r="W58" s="9">
        <v>9.3000000000000007</v>
      </c>
      <c r="X58" s="9" t="s">
        <v>308</v>
      </c>
      <c r="AE58" s="24">
        <f>SUM(AE51:AE57)/1000</f>
        <v>0</v>
      </c>
      <c r="AF58" s="24" t="s">
        <v>223</v>
      </c>
      <c r="AI58" s="81">
        <f ca="1">AJ34+AJ36+AJ38+AJ40+AJ41+AJ42+AJ48</f>
        <v>0</v>
      </c>
      <c r="AJ58" s="81" t="s">
        <v>309</v>
      </c>
    </row>
    <row r="59" spans="3:46">
      <c r="C59" s="51" t="s">
        <v>310</v>
      </c>
      <c r="D59" s="51" t="s">
        <v>311</v>
      </c>
      <c r="E59" s="51" t="s">
        <v>172</v>
      </c>
      <c r="F59" s="212" t="s">
        <v>93</v>
      </c>
      <c r="G59" s="213"/>
      <c r="H59" s="213"/>
      <c r="I59" s="213"/>
      <c r="J59" s="169"/>
      <c r="N59" s="6"/>
      <c r="V59" s="9" t="s">
        <v>312</v>
      </c>
      <c r="W59" s="9">
        <f>0.45</f>
        <v>0.45</v>
      </c>
      <c r="X59" s="9" t="s">
        <v>313</v>
      </c>
      <c r="Y59" s="9" t="s">
        <v>314</v>
      </c>
      <c r="Z59" s="9" t="s">
        <v>315</v>
      </c>
    </row>
    <row r="60" spans="3:46">
      <c r="C60" s="20" t="s">
        <v>316</v>
      </c>
      <c r="D60" s="130"/>
      <c r="E60" s="130" t="s">
        <v>239</v>
      </c>
      <c r="F60" s="312"/>
      <c r="G60" s="313"/>
      <c r="H60" s="313"/>
      <c r="I60" s="313"/>
      <c r="J60" s="314"/>
      <c r="N60" s="6"/>
      <c r="V60" s="9" t="s">
        <v>317</v>
      </c>
      <c r="W60" s="9">
        <v>4.2888888888888896</v>
      </c>
      <c r="X60" s="9" t="s">
        <v>318</v>
      </c>
      <c r="Y60" s="9"/>
      <c r="Z60" s="9"/>
    </row>
    <row r="61" spans="3:46">
      <c r="C61" s="20" t="s">
        <v>319</v>
      </c>
      <c r="D61" s="130"/>
      <c r="E61" s="130" t="s">
        <v>239</v>
      </c>
      <c r="F61" s="312"/>
      <c r="G61" s="313"/>
      <c r="H61" s="313"/>
      <c r="I61" s="313"/>
      <c r="J61" s="314"/>
      <c r="N61" s="6"/>
      <c r="V61" s="9" t="s">
        <v>320</v>
      </c>
      <c r="W61" s="9">
        <v>0.7</v>
      </c>
      <c r="X61" s="9" t="s">
        <v>321</v>
      </c>
      <c r="Y61" s="9" t="s">
        <v>322</v>
      </c>
      <c r="Z61" s="9" t="s">
        <v>323</v>
      </c>
    </row>
    <row r="62" spans="3:46">
      <c r="C62" s="20" t="s">
        <v>324</v>
      </c>
      <c r="D62" s="130"/>
      <c r="E62" s="130" t="s">
        <v>239</v>
      </c>
      <c r="F62" s="312"/>
      <c r="G62" s="313"/>
      <c r="H62" s="313"/>
      <c r="I62" s="313"/>
      <c r="J62" s="314"/>
      <c r="N62" s="6"/>
      <c r="V62" s="9" t="s">
        <v>320</v>
      </c>
      <c r="W62" s="9">
        <f>623251/1080000</f>
        <v>0.57708425925925921</v>
      </c>
      <c r="X62" s="9" t="s">
        <v>321</v>
      </c>
      <c r="Y62" s="9" t="s">
        <v>325</v>
      </c>
      <c r="Z62" s="9"/>
    </row>
    <row r="63" spans="3:46">
      <c r="C63" s="20" t="s">
        <v>326</v>
      </c>
      <c r="D63" s="130"/>
      <c r="E63" s="130" t="s">
        <v>239</v>
      </c>
      <c r="F63" s="312"/>
      <c r="G63" s="313"/>
      <c r="H63" s="313"/>
      <c r="I63" s="313"/>
      <c r="J63" s="314"/>
      <c r="N63" s="6"/>
      <c r="V63" s="9" t="s">
        <v>303</v>
      </c>
      <c r="W63" s="9">
        <v>0.66</v>
      </c>
      <c r="X63" s="9" t="s">
        <v>327</v>
      </c>
      <c r="Y63" s="9" t="s">
        <v>325</v>
      </c>
      <c r="Z63" s="9"/>
      <c r="AI63" s="2" t="str">
        <f>AJ47&amp;" "&amp;AK47</f>
        <v xml:space="preserve"> </v>
      </c>
    </row>
    <row r="64" spans="3:46">
      <c r="C64" s="20" t="s">
        <v>328</v>
      </c>
      <c r="D64" s="130"/>
      <c r="E64" s="130" t="s">
        <v>309</v>
      </c>
      <c r="F64" s="312"/>
      <c r="G64" s="313"/>
      <c r="H64" s="313"/>
      <c r="I64" s="313"/>
      <c r="J64" s="314"/>
      <c r="N64" s="6"/>
    </row>
    <row r="65" spans="3:38">
      <c r="C65" s="20" t="s">
        <v>329</v>
      </c>
      <c r="D65" s="130"/>
      <c r="E65" s="130" t="s">
        <v>309</v>
      </c>
      <c r="F65" s="312"/>
      <c r="G65" s="313"/>
      <c r="H65" s="313"/>
      <c r="I65" s="313"/>
      <c r="J65" s="314"/>
      <c r="N65" s="6"/>
      <c r="V65" s="407" t="s">
        <v>330</v>
      </c>
      <c r="W65" s="407"/>
      <c r="X65" s="407"/>
      <c r="Y65" s="407"/>
      <c r="Z65" s="407"/>
    </row>
    <row r="66" spans="3:38">
      <c r="C66" s="20" t="s">
        <v>331</v>
      </c>
      <c r="D66" s="130"/>
      <c r="E66" s="130" t="s">
        <v>309</v>
      </c>
      <c r="F66" s="312"/>
      <c r="G66" s="313"/>
      <c r="H66" s="313"/>
      <c r="I66" s="313"/>
      <c r="J66" s="314"/>
      <c r="N66" s="6"/>
      <c r="V66" s="9" t="s">
        <v>332</v>
      </c>
      <c r="W66" s="9" t="s">
        <v>333</v>
      </c>
      <c r="X66" s="9" t="s">
        <v>65</v>
      </c>
      <c r="Y66" s="9" t="s">
        <v>334</v>
      </c>
      <c r="Z66" s="9"/>
    </row>
    <row r="67" spans="3:38">
      <c r="G67" s="337"/>
      <c r="H67" s="337"/>
      <c r="I67" s="337"/>
      <c r="J67" s="337"/>
      <c r="N67" s="6"/>
      <c r="V67" s="9">
        <v>50</v>
      </c>
      <c r="W67" s="9">
        <v>2</v>
      </c>
      <c r="X67" s="14">
        <f>E50*V67*W67*Z54/1000</f>
        <v>0</v>
      </c>
      <c r="Y67" s="14">
        <f>E50*D50*W67*VLOOKUP(G50,$V$53:$Z$56,$Z$51,FALSE)/1000</f>
        <v>0</v>
      </c>
      <c r="Z67" s="9" t="s">
        <v>335</v>
      </c>
    </row>
    <row r="68" spans="3:38" hidden="1">
      <c r="G68" s="337"/>
      <c r="H68" s="337"/>
      <c r="I68" s="337"/>
      <c r="J68" s="337"/>
      <c r="V68" s="9">
        <v>50</v>
      </c>
      <c r="W68" s="9">
        <v>2</v>
      </c>
      <c r="X68" s="14">
        <f>E51*V68*W68*Z54/1000</f>
        <v>0</v>
      </c>
      <c r="Y68" s="14">
        <f>E51*D51*W68*VLOOKUP(G51,$V$53:$Z$56,$Z$51,FALSE)/1000</f>
        <v>0</v>
      </c>
      <c r="Z68" s="9" t="s">
        <v>335</v>
      </c>
    </row>
    <row r="69" spans="3:38" hidden="1">
      <c r="G69" s="337"/>
      <c r="H69" s="337"/>
      <c r="I69" s="337"/>
      <c r="J69" s="337"/>
      <c r="X69" s="231">
        <f>X67+X68</f>
        <v>0</v>
      </c>
      <c r="Y69" s="231">
        <f>Y67+Y68</f>
        <v>0</v>
      </c>
      <c r="Z69" s="9" t="s">
        <v>335</v>
      </c>
    </row>
    <row r="70" spans="3:38" hidden="1"/>
    <row r="71" spans="3:38" hidden="1"/>
    <row r="72" spans="3:38" hidden="1"/>
    <row r="73" spans="3:38" hidden="1"/>
    <row r="74" spans="3:38" hidden="1"/>
    <row r="75" spans="3:38" hidden="1"/>
    <row r="76" spans="3:38" ht="25.5">
      <c r="C76" s="53" t="s">
        <v>430</v>
      </c>
    </row>
    <row r="78" spans="3:38" ht="15" customHeight="1">
      <c r="C78" s="360" t="s">
        <v>337</v>
      </c>
      <c r="D78" s="338" t="str">
        <f>"Tonn CO2 ekv, "&amp;VLOOKUP('Generelt om prosjektet'!C25,'Generelt om prosjektet'!W25:X28,2,FALSE)&amp;". Klimagassutslippene er oppgit uten hensyn til binding av biogent karbon."</f>
        <v>Tonn CO2 ekv, GWP. Klimagassutslippene er oppgit uten hensyn til binding av biogent karbon.</v>
      </c>
      <c r="E78" s="339"/>
      <c r="F78" s="339"/>
      <c r="G78" s="339"/>
      <c r="H78" s="329" t="s">
        <v>338</v>
      </c>
      <c r="I78" s="232" t="s">
        <v>93</v>
      </c>
      <c r="J78" s="233"/>
      <c r="K78" s="233"/>
      <c r="L78" s="234"/>
      <c r="V78" s="6" t="s">
        <v>339</v>
      </c>
    </row>
    <row r="79" spans="3:38" ht="45" customHeight="1">
      <c r="C79" s="361"/>
      <c r="D79" s="151" t="s">
        <v>340</v>
      </c>
      <c r="E79" s="235" t="s">
        <v>341</v>
      </c>
      <c r="F79" s="235" t="s">
        <v>342</v>
      </c>
      <c r="G79" s="236" t="s">
        <v>170</v>
      </c>
      <c r="H79" s="330"/>
      <c r="I79" s="237"/>
      <c r="J79" s="238"/>
      <c r="K79" s="238"/>
      <c r="L79" s="239"/>
      <c r="V79" s="8" t="s">
        <v>65</v>
      </c>
      <c r="W79" s="8" t="s">
        <v>343</v>
      </c>
      <c r="X79" s="8" t="s">
        <v>344</v>
      </c>
      <c r="Y79" s="8" t="s">
        <v>345</v>
      </c>
      <c r="Z79" s="8" t="s">
        <v>346</v>
      </c>
      <c r="AA79" s="5" t="s">
        <v>614</v>
      </c>
    </row>
    <row r="80" spans="3:38" ht="30" customHeight="1">
      <c r="C80" s="152" t="s">
        <v>347</v>
      </c>
      <c r="D80" s="240"/>
      <c r="E80" s="140"/>
      <c r="F80" s="241"/>
      <c r="G80" s="242">
        <f>E80</f>
        <v>0</v>
      </c>
      <c r="H80" s="243">
        <f>IF(G93=0,0,IF(G80=0,0.1,G80))</f>
        <v>0</v>
      </c>
      <c r="I80" s="334"/>
      <c r="J80" s="335"/>
      <c r="K80" s="335"/>
      <c r="L80" s="336"/>
      <c r="U80" s="62">
        <f>G80</f>
        <v>0</v>
      </c>
      <c r="V80" s="244">
        <f>SUM(BB19:BB24)/1000</f>
        <v>0</v>
      </c>
      <c r="W80" s="245" t="s">
        <v>348</v>
      </c>
      <c r="X80" s="9" t="s">
        <v>349</v>
      </c>
      <c r="Y80" s="245" t="s">
        <v>350</v>
      </c>
      <c r="Z80" s="9" t="s">
        <v>349</v>
      </c>
      <c r="AH80" s="15" t="s">
        <v>32</v>
      </c>
      <c r="AI80" s="14">
        <f>G80</f>
        <v>0</v>
      </c>
      <c r="AJ80" s="100">
        <f>V80</f>
        <v>0</v>
      </c>
      <c r="AK80" s="78">
        <f>IFERROR(AI80/AJ80,0)</f>
        <v>0</v>
      </c>
      <c r="AL80" s="9"/>
    </row>
    <row r="81" spans="3:38" ht="15" customHeight="1">
      <c r="C81" s="214" t="s">
        <v>351</v>
      </c>
      <c r="D81" s="140"/>
      <c r="E81" s="140"/>
      <c r="F81" s="240"/>
      <c r="G81" s="242">
        <f>D81+E81</f>
        <v>0</v>
      </c>
      <c r="H81" s="246">
        <f>IFERROR(G81/V81,1)</f>
        <v>1</v>
      </c>
      <c r="I81" s="318"/>
      <c r="J81" s="319"/>
      <c r="K81" s="319"/>
      <c r="L81" s="320"/>
      <c r="U81" s="62">
        <f>G81</f>
        <v>0</v>
      </c>
      <c r="V81" s="247">
        <f>(AN25+AS25+AO25+AT25)/1000</f>
        <v>0</v>
      </c>
      <c r="W81" s="248">
        <v>1.1000000000000001</v>
      </c>
      <c r="X81" s="248">
        <v>0.9</v>
      </c>
      <c r="Y81" s="248">
        <v>0.1</v>
      </c>
      <c r="Z81" s="249">
        <v>0</v>
      </c>
      <c r="AH81" s="15" t="s">
        <v>33</v>
      </c>
      <c r="AI81" s="14">
        <f>G81</f>
        <v>0</v>
      </c>
      <c r="AJ81" s="14">
        <f>V81</f>
        <v>0</v>
      </c>
      <c r="AK81" s="78">
        <f>IFERROR(AI81/AJ81,0)</f>
        <v>0</v>
      </c>
      <c r="AL81" s="9"/>
    </row>
    <row r="82" spans="3:38">
      <c r="C82" s="20" t="s">
        <v>352</v>
      </c>
      <c r="D82" s="140"/>
      <c r="E82" s="140"/>
      <c r="F82" s="140"/>
      <c r="G82" s="242">
        <f>D82+E82+F82</f>
        <v>0</v>
      </c>
      <c r="H82" s="246">
        <f>IFERROR(G82/V82,1)</f>
        <v>1</v>
      </c>
      <c r="I82" s="331"/>
      <c r="J82" s="332"/>
      <c r="K82" s="332"/>
      <c r="L82" s="333"/>
      <c r="U82" s="62">
        <f>G82</f>
        <v>0</v>
      </c>
      <c r="V82" s="247">
        <f>(SUM(AN19:AN24)+SUM(AS19:AS24))/1000</f>
        <v>0</v>
      </c>
      <c r="W82" s="248">
        <v>1.1000000000000001</v>
      </c>
      <c r="X82" s="248">
        <v>0.9</v>
      </c>
      <c r="Y82" s="248">
        <v>0.1</v>
      </c>
      <c r="Z82" s="249">
        <v>0</v>
      </c>
      <c r="AA82" s="2">
        <f>SUM(BO19:BO24)/1000</f>
        <v>0</v>
      </c>
      <c r="AH82" s="9" t="s">
        <v>36</v>
      </c>
      <c r="AI82" s="14">
        <f>G82+G83+G89+G92</f>
        <v>0</v>
      </c>
      <c r="AJ82" s="14">
        <f>V82+V83+V89</f>
        <v>0</v>
      </c>
      <c r="AK82" s="78">
        <f>IFERROR(AI82/AJ82,0)</f>
        <v>0</v>
      </c>
      <c r="AL82" s="9"/>
    </row>
    <row r="83" spans="3:38">
      <c r="C83" s="20" t="s">
        <v>353</v>
      </c>
      <c r="D83" s="140"/>
      <c r="E83" s="140"/>
      <c r="F83" s="140"/>
      <c r="G83" s="242">
        <f>D83+E83+F83</f>
        <v>0</v>
      </c>
      <c r="H83" s="246">
        <f>IFERROR(G83/V83,1)</f>
        <v>1</v>
      </c>
      <c r="I83" s="318"/>
      <c r="J83" s="319"/>
      <c r="K83" s="319"/>
      <c r="L83" s="320"/>
      <c r="U83" s="62">
        <f>G83</f>
        <v>0</v>
      </c>
      <c r="V83" s="247">
        <f>(SUM(AO19:AO24)+SUM(AT19:AT24))/1000</f>
        <v>0</v>
      </c>
      <c r="W83" s="248">
        <v>1.1000000000000001</v>
      </c>
      <c r="X83" s="248">
        <v>0.9</v>
      </c>
      <c r="Y83" s="248">
        <v>0.1</v>
      </c>
      <c r="Z83" s="249">
        <v>0</v>
      </c>
      <c r="AH83" s="9" t="s">
        <v>38</v>
      </c>
      <c r="AI83" s="14">
        <f>G84+G85+G86</f>
        <v>0</v>
      </c>
      <c r="AJ83" s="14">
        <f>V84+V85+V86</f>
        <v>0</v>
      </c>
      <c r="AK83" s="78">
        <f>IFERROR((AI83-G85)/AJ83,0)</f>
        <v>0</v>
      </c>
      <c r="AL83" s="9"/>
    </row>
    <row r="84" spans="3:38">
      <c r="C84" s="214" t="s">
        <v>354</v>
      </c>
      <c r="D84" s="140"/>
      <c r="E84" s="140"/>
      <c r="F84" s="140"/>
      <c r="G84" s="242">
        <f>D84+E84+F84</f>
        <v>0</v>
      </c>
      <c r="H84" s="246">
        <f>IFERROR(G84/V84,1)</f>
        <v>1</v>
      </c>
      <c r="I84" s="318"/>
      <c r="J84" s="319"/>
      <c r="K84" s="319"/>
      <c r="L84" s="320"/>
      <c r="U84" s="62">
        <f>G84</f>
        <v>0</v>
      </c>
      <c r="V84" s="247">
        <f>(SUM(AP19:AP25)+SUM(AU19:AU25))/1000</f>
        <v>0</v>
      </c>
      <c r="W84" s="248">
        <v>1.1000000000000001</v>
      </c>
      <c r="X84" s="248">
        <v>0.9</v>
      </c>
      <c r="Y84" s="248">
        <v>0.1</v>
      </c>
      <c r="Z84" s="249">
        <v>0</v>
      </c>
      <c r="AH84" s="9" t="s">
        <v>40</v>
      </c>
      <c r="AI84" s="14">
        <f>G90</f>
        <v>0</v>
      </c>
      <c r="AJ84" s="14">
        <f>V90</f>
        <v>0</v>
      </c>
      <c r="AK84" s="78">
        <f>IFERROR(AI84/AJ84,0)</f>
        <v>0</v>
      </c>
      <c r="AL84" s="9"/>
    </row>
    <row r="85" spans="3:38">
      <c r="C85" s="214" t="s">
        <v>355</v>
      </c>
      <c r="D85" s="365"/>
      <c r="E85" s="366"/>
      <c r="F85" s="367"/>
      <c r="G85" s="242">
        <f>D85</f>
        <v>0</v>
      </c>
      <c r="H85" s="250" t="s">
        <v>349</v>
      </c>
      <c r="I85" s="318"/>
      <c r="J85" s="319"/>
      <c r="K85" s="319"/>
      <c r="L85" s="320"/>
      <c r="U85" s="62"/>
      <c r="V85" s="251"/>
      <c r="AH85" s="9" t="s">
        <v>42</v>
      </c>
      <c r="AI85" s="14">
        <f>G87+G88</f>
        <v>0</v>
      </c>
      <c r="AJ85" s="14">
        <f>V87+V88</f>
        <v>0</v>
      </c>
      <c r="AK85" s="78">
        <f>IFERROR(AI85/AJ85,0)</f>
        <v>0</v>
      </c>
      <c r="AL85" s="9"/>
    </row>
    <row r="86" spans="3:38">
      <c r="C86" s="214" t="s">
        <v>356</v>
      </c>
      <c r="D86" s="409">
        <f>Y69</f>
        <v>0</v>
      </c>
      <c r="E86" s="410"/>
      <c r="F86" s="411"/>
      <c r="G86" s="242">
        <f>D86</f>
        <v>0</v>
      </c>
      <c r="H86" s="246">
        <f>IFERROR(G86/V86,1)</f>
        <v>1</v>
      </c>
      <c r="I86" s="331"/>
      <c r="J86" s="332"/>
      <c r="K86" s="332"/>
      <c r="L86" s="333"/>
      <c r="U86" s="62">
        <f>G86</f>
        <v>0</v>
      </c>
      <c r="V86" s="247">
        <f>X69</f>
        <v>0</v>
      </c>
      <c r="W86" s="248">
        <v>1.1000000000000001</v>
      </c>
      <c r="X86" s="248">
        <v>0.9</v>
      </c>
      <c r="Y86" s="248">
        <v>0</v>
      </c>
      <c r="Z86" s="245" t="s">
        <v>349</v>
      </c>
      <c r="AH86" s="9" t="s">
        <v>44</v>
      </c>
      <c r="AI86" s="14">
        <f>G91</f>
        <v>0</v>
      </c>
      <c r="AJ86" s="14">
        <f>V91</f>
        <v>0</v>
      </c>
      <c r="AK86" s="78">
        <f>IFERROR(AI86/AJ86,0)</f>
        <v>0</v>
      </c>
      <c r="AL86" s="9"/>
    </row>
    <row r="87" spans="3:38" ht="15" customHeight="1">
      <c r="C87" s="214" t="s">
        <v>357</v>
      </c>
      <c r="D87" s="409">
        <f>AE48</f>
        <v>0</v>
      </c>
      <c r="E87" s="410"/>
      <c r="F87" s="411"/>
      <c r="G87" s="242">
        <f t="shared" ref="G87:G93" si="21">D87+E87+F87</f>
        <v>0</v>
      </c>
      <c r="H87" s="316">
        <f>V87</f>
        <v>0</v>
      </c>
      <c r="I87" s="318"/>
      <c r="J87" s="319"/>
      <c r="K87" s="319"/>
      <c r="L87" s="320"/>
      <c r="U87" s="62">
        <f>G87+G88</f>
        <v>0</v>
      </c>
      <c r="V87" s="14">
        <f>(G87+G88)</f>
        <v>0</v>
      </c>
      <c r="W87" s="252" t="s">
        <v>358</v>
      </c>
      <c r="X87" s="252" t="s">
        <v>359</v>
      </c>
      <c r="Y87" s="252" t="s">
        <v>360</v>
      </c>
      <c r="Z87" s="245" t="s">
        <v>349</v>
      </c>
      <c r="AH87" s="9"/>
      <c r="AI87" s="14">
        <f>SUM(AI80:AI86)</f>
        <v>0</v>
      </c>
      <c r="AJ87" s="9"/>
      <c r="AK87" s="78"/>
      <c r="AL87" s="9"/>
    </row>
    <row r="88" spans="3:38" ht="15" customHeight="1">
      <c r="C88" s="214" t="s">
        <v>361</v>
      </c>
      <c r="D88" s="362">
        <f>AE58</f>
        <v>0</v>
      </c>
      <c r="E88" s="363"/>
      <c r="F88" s="364"/>
      <c r="G88" s="242">
        <f t="shared" si="21"/>
        <v>0</v>
      </c>
      <c r="H88" s="317"/>
      <c r="I88" s="334"/>
      <c r="J88" s="335"/>
      <c r="K88" s="335"/>
      <c r="L88" s="336"/>
      <c r="U88" s="62"/>
      <c r="V88" s="14"/>
      <c r="W88" s="252" t="s">
        <v>358</v>
      </c>
      <c r="X88" s="252" t="s">
        <v>359</v>
      </c>
      <c r="Y88" s="252" t="s">
        <v>360</v>
      </c>
      <c r="Z88" s="245" t="s">
        <v>349</v>
      </c>
    </row>
    <row r="89" spans="3:38">
      <c r="C89" s="20" t="str">
        <f>"B2, B4, Drift og vedlikehold, "&amp;'Generelt om prosjektet'!C24&amp;" år"</f>
        <v>B2, B4, Drift og vedlikehold, 50 år</v>
      </c>
      <c r="D89" s="140"/>
      <c r="E89" s="140"/>
      <c r="F89" s="140"/>
      <c r="G89" s="242">
        <f t="shared" si="21"/>
        <v>0</v>
      </c>
      <c r="H89" s="246">
        <f>IFERROR(G89/V89,1)</f>
        <v>1</v>
      </c>
      <c r="I89" s="331"/>
      <c r="J89" s="332"/>
      <c r="K89" s="332"/>
      <c r="L89" s="333"/>
      <c r="U89" s="62">
        <f>G89</f>
        <v>0</v>
      </c>
      <c r="V89" s="247">
        <f>(SUM(AQ19:AQ24)+SUM(AV19:AV24))/1000</f>
        <v>0</v>
      </c>
      <c r="W89" s="248">
        <v>1.1000000000000001</v>
      </c>
      <c r="X89" s="248">
        <v>0.9</v>
      </c>
      <c r="Y89" s="248">
        <v>0.1</v>
      </c>
      <c r="Z89" s="249">
        <v>0</v>
      </c>
    </row>
    <row r="90" spans="3:38">
      <c r="C90" s="20" t="str">
        <f>"B6: Energi i drift, "&amp;'Generelt om prosjektet'!C24&amp;" år"</f>
        <v>B6: Energi i drift, 50 år</v>
      </c>
      <c r="D90" s="362">
        <f>SUM(AF36:AF39)</f>
        <v>0</v>
      </c>
      <c r="E90" s="363"/>
      <c r="F90" s="364"/>
      <c r="G90" s="242">
        <f t="shared" si="21"/>
        <v>0</v>
      </c>
      <c r="H90" s="246">
        <f>IFERROR(G90/V90,1)</f>
        <v>1</v>
      </c>
      <c r="I90" s="318"/>
      <c r="J90" s="319"/>
      <c r="K90" s="319"/>
      <c r="L90" s="320"/>
      <c r="U90" s="62">
        <f>G90</f>
        <v>0</v>
      </c>
      <c r="V90" s="247">
        <f>AQ50</f>
        <v>0</v>
      </c>
      <c r="W90" s="248">
        <v>1.1000000000000001</v>
      </c>
      <c r="X90" s="248">
        <v>0.9</v>
      </c>
      <c r="Y90" s="248">
        <v>0.1</v>
      </c>
      <c r="Z90" s="249">
        <v>0</v>
      </c>
    </row>
    <row r="91" spans="3:38">
      <c r="C91" s="214" t="s">
        <v>362</v>
      </c>
      <c r="D91" s="143"/>
      <c r="E91" s="143"/>
      <c r="F91" s="143"/>
      <c r="G91" s="242">
        <f t="shared" si="21"/>
        <v>0</v>
      </c>
      <c r="H91" s="246">
        <f>IFERROR(G91/V91,1)</f>
        <v>1</v>
      </c>
      <c r="I91" s="318"/>
      <c r="J91" s="319"/>
      <c r="K91" s="319"/>
      <c r="L91" s="320"/>
      <c r="U91" s="62">
        <f>G91</f>
        <v>0</v>
      </c>
      <c r="V91" s="247">
        <f>(SUM(AR19:AR25)+SUM(AW19:AW25))/1000</f>
        <v>0</v>
      </c>
      <c r="W91" s="248">
        <v>1.1000000000000001</v>
      </c>
      <c r="X91" s="248">
        <v>0.9</v>
      </c>
      <c r="Y91" s="248">
        <v>0.4</v>
      </c>
      <c r="Z91" s="249">
        <v>0</v>
      </c>
    </row>
    <row r="92" spans="3:38">
      <c r="C92" s="214" t="s">
        <v>363</v>
      </c>
      <c r="D92" s="241">
        <f>IF(E44=Nei,AF40,0)</f>
        <v>0</v>
      </c>
      <c r="E92" s="241"/>
      <c r="F92" s="241"/>
      <c r="G92" s="242">
        <f t="shared" si="21"/>
        <v>0</v>
      </c>
      <c r="H92" s="253" t="s">
        <v>349</v>
      </c>
      <c r="I92" s="318"/>
      <c r="J92" s="319"/>
      <c r="K92" s="319"/>
      <c r="L92" s="320"/>
      <c r="U92" s="62"/>
      <c r="V92" s="251"/>
      <c r="W92" s="254"/>
      <c r="X92" s="254"/>
      <c r="Y92" s="254"/>
    </row>
    <row r="93" spans="3:38">
      <c r="C93" s="255" t="s">
        <v>364</v>
      </c>
      <c r="D93" s="256">
        <f>SUM(D80:D92)</f>
        <v>0</v>
      </c>
      <c r="E93" s="256">
        <f>SUM(E80:E92)</f>
        <v>0</v>
      </c>
      <c r="F93" s="256">
        <f>SUM(F80:F92)</f>
        <v>0</v>
      </c>
      <c r="G93" s="256">
        <f t="shared" si="21"/>
        <v>0</v>
      </c>
      <c r="H93" s="257">
        <f>IFERROR(U93/V93,0)</f>
        <v>0</v>
      </c>
      <c r="I93" s="357"/>
      <c r="J93" s="358"/>
      <c r="K93" s="358"/>
      <c r="L93" s="359"/>
      <c r="U93" s="224">
        <f>SUM(U80:U92)</f>
        <v>0</v>
      </c>
      <c r="V93" s="224">
        <f>SUM(V80:V92)</f>
        <v>0</v>
      </c>
    </row>
    <row r="94" spans="3:38">
      <c r="C94" s="19"/>
      <c r="D94" s="19"/>
      <c r="E94" s="19"/>
      <c r="F94" s="19"/>
      <c r="G94" s="19"/>
      <c r="H94" s="19"/>
      <c r="I94" s="19"/>
      <c r="J94" s="19"/>
      <c r="K94" s="19"/>
      <c r="L94" s="19"/>
    </row>
    <row r="95" spans="3:38">
      <c r="C95" s="19"/>
      <c r="D95" s="19"/>
      <c r="E95" s="19"/>
      <c r="F95" s="19"/>
      <c r="G95" s="19"/>
      <c r="H95" s="19"/>
      <c r="I95" s="19"/>
      <c r="J95" s="19"/>
      <c r="K95" s="19"/>
      <c r="L95" s="19"/>
    </row>
    <row r="96" spans="3:38">
      <c r="C96" s="354" t="s">
        <v>365</v>
      </c>
      <c r="D96" s="338" t="str">
        <f>D78</f>
        <v>Tonn CO2 ekv, GWP. Klimagassutslippene er oppgit uten hensyn til binding av biogent karbon.</v>
      </c>
      <c r="E96" s="339"/>
      <c r="F96" s="339"/>
      <c r="G96" s="339"/>
      <c r="H96" s="356"/>
      <c r="I96" s="232" t="s">
        <v>93</v>
      </c>
      <c r="J96" s="258"/>
      <c r="K96" s="233"/>
      <c r="L96" s="234"/>
    </row>
    <row r="97" spans="3:24" ht="30" customHeight="1">
      <c r="C97" s="355"/>
      <c r="D97" s="151" t="s">
        <v>340</v>
      </c>
      <c r="E97" s="235" t="s">
        <v>162</v>
      </c>
      <c r="F97" s="235" t="s">
        <v>163</v>
      </c>
      <c r="G97" s="393" t="s">
        <v>170</v>
      </c>
      <c r="H97" s="394"/>
      <c r="I97" s="237"/>
      <c r="J97" s="259"/>
      <c r="K97" s="238"/>
      <c r="L97" s="239"/>
    </row>
    <row r="98" spans="3:24">
      <c r="C98" s="214" t="s">
        <v>366</v>
      </c>
      <c r="D98" s="340"/>
      <c r="E98" s="342"/>
      <c r="F98" s="241"/>
      <c r="G98" s="395">
        <f>D98</f>
        <v>0</v>
      </c>
      <c r="H98" s="396"/>
      <c r="I98" s="340"/>
      <c r="J98" s="341"/>
      <c r="K98" s="341"/>
      <c r="L98" s="342"/>
    </row>
    <row r="99" spans="3:24" ht="30" customHeight="1">
      <c r="C99" s="20" t="s">
        <v>47</v>
      </c>
      <c r="D99" s="391" t="str">
        <f ca="1">IF(AX32&gt;0,"Beregnet med "&amp;AX32&amp;" års 'restlevetid' til beregningsperioden på "&amp;'Generelt om prosjektet'!C24&amp;" år","")</f>
        <v/>
      </c>
      <c r="E99" s="392"/>
      <c r="F99" s="260">
        <f ca="1">SUM(AX33:BA33)/1000</f>
        <v>0</v>
      </c>
      <c r="G99" s="395">
        <f ca="1">F99</f>
        <v>0</v>
      </c>
      <c r="H99" s="396"/>
      <c r="I99" s="340"/>
      <c r="J99" s="341"/>
      <c r="K99" s="341"/>
      <c r="L99" s="342"/>
    </row>
    <row r="100" spans="3:24">
      <c r="C100" s="408" t="s">
        <v>431</v>
      </c>
      <c r="D100" s="344"/>
      <c r="E100" s="344"/>
      <c r="F100" s="344"/>
      <c r="G100" s="344"/>
      <c r="H100" s="344"/>
      <c r="I100" s="344"/>
      <c r="J100" s="344"/>
      <c r="K100" s="344"/>
      <c r="L100" s="345"/>
    </row>
    <row r="101" spans="3:24">
      <c r="C101" s="346"/>
      <c r="D101" s="347"/>
      <c r="E101" s="347"/>
      <c r="F101" s="347"/>
      <c r="G101" s="347"/>
      <c r="H101" s="347"/>
      <c r="I101" s="347"/>
      <c r="J101" s="347"/>
      <c r="K101" s="347"/>
      <c r="L101" s="348"/>
    </row>
    <row r="102" spans="3:24">
      <c r="C102" s="346"/>
      <c r="D102" s="347"/>
      <c r="E102" s="347"/>
      <c r="F102" s="347"/>
      <c r="G102" s="347"/>
      <c r="H102" s="347"/>
      <c r="I102" s="347"/>
      <c r="J102" s="347"/>
      <c r="K102" s="347"/>
      <c r="L102" s="348"/>
    </row>
    <row r="103" spans="3:24">
      <c r="C103" s="349"/>
      <c r="D103" s="350"/>
      <c r="E103" s="350"/>
      <c r="F103" s="350"/>
      <c r="G103" s="350"/>
      <c r="H103" s="350"/>
      <c r="I103" s="350"/>
      <c r="J103" s="350"/>
      <c r="K103" s="350"/>
      <c r="L103" s="351"/>
    </row>
    <row r="107" spans="3:24" ht="25.5">
      <c r="C107" s="53" t="str">
        <f>"Alternativ 2: Resultat. B6: Energi i drift, "&amp;'Generelt om prosjektet'!C24&amp;" år, ulike utslippsfaktorer for energi"</f>
        <v>Alternativ 2: Resultat. B6: Energi i drift, 50 år, ulike utslippsfaktorer for energi</v>
      </c>
    </row>
    <row r="108" spans="3:24">
      <c r="C108" s="19"/>
      <c r="D108" s="19"/>
      <c r="E108" s="19"/>
      <c r="F108" s="19"/>
      <c r="G108" s="19"/>
      <c r="H108" s="19"/>
      <c r="I108" s="19"/>
    </row>
    <row r="109" spans="3:24">
      <c r="C109" s="19"/>
      <c r="D109" s="311" t="s">
        <v>368</v>
      </c>
      <c r="E109" s="311"/>
      <c r="F109" s="311"/>
      <c r="G109" s="19"/>
      <c r="H109" s="19"/>
      <c r="I109" s="19"/>
    </row>
    <row r="110" spans="3:24" ht="25.5">
      <c r="C110" s="51" t="s">
        <v>369</v>
      </c>
      <c r="D110" s="51" t="s">
        <v>370</v>
      </c>
      <c r="E110" s="51" t="s">
        <v>371</v>
      </c>
      <c r="F110" s="51" t="s">
        <v>372</v>
      </c>
      <c r="G110" s="261" t="str">
        <f>"Beregnet utslipp over "&amp;'Generelt om prosjektet'!C24&amp;" år"</f>
        <v>Beregnet utslipp over 50 år</v>
      </c>
      <c r="H110" s="151" t="s">
        <v>172</v>
      </c>
      <c r="I110" s="19"/>
    </row>
    <row r="111" spans="3:24">
      <c r="C111" s="20" t="s">
        <v>373</v>
      </c>
      <c r="D111" s="262">
        <f>Utslippsdata!C77</f>
        <v>1.7747665114285747E-2</v>
      </c>
      <c r="E111" s="262">
        <f>Utslippsdata!C83</f>
        <v>1.4693376033679371E-2</v>
      </c>
      <c r="F111" s="20">
        <f>E37</f>
        <v>0</v>
      </c>
      <c r="G111" s="242">
        <f>(($W$111+$W$114)*D111+$W$112*E111+$W$113*F111)*$W$115/1000</f>
        <v>0</v>
      </c>
      <c r="H111" s="20" t="s">
        <v>374</v>
      </c>
      <c r="I111" s="19"/>
      <c r="V111" s="9" t="s">
        <v>370</v>
      </c>
      <c r="W111" s="14">
        <f>E34</f>
        <v>0</v>
      </c>
      <c r="X111" s="9" t="s">
        <v>375</v>
      </c>
    </row>
    <row r="112" spans="3:24">
      <c r="C112" s="437" t="s">
        <v>382</v>
      </c>
      <c r="D112" s="438">
        <f>Utslippsdata!C76</f>
        <v>0.10462896495714274</v>
      </c>
      <c r="E112" s="438">
        <f>Utslippsdata!C80</f>
        <v>3.8751119274583641E-2</v>
      </c>
      <c r="F112" s="437">
        <f>E37</f>
        <v>0</v>
      </c>
      <c r="G112" s="439">
        <f>(($W$111+$W$114)*D112+$W$112*E112+$W$113*F112)*$W$115/1000</f>
        <v>0</v>
      </c>
      <c r="H112" s="437" t="s">
        <v>374</v>
      </c>
      <c r="I112" s="19"/>
      <c r="V112" s="9" t="s">
        <v>377</v>
      </c>
      <c r="W112" s="14">
        <f>E35</f>
        <v>0</v>
      </c>
      <c r="X112" s="9" t="s">
        <v>375</v>
      </c>
    </row>
    <row r="113" spans="3:27">
      <c r="C113" s="19"/>
      <c r="D113" s="19"/>
      <c r="E113" s="19"/>
      <c r="F113" s="19"/>
      <c r="G113" s="19"/>
      <c r="H113" s="19"/>
      <c r="I113" s="19"/>
      <c r="V113" s="9" t="s">
        <v>378</v>
      </c>
      <c r="W113" s="14">
        <f>E36</f>
        <v>0</v>
      </c>
      <c r="X113" s="9" t="s">
        <v>375</v>
      </c>
    </row>
    <row r="114" spans="3:27">
      <c r="C114" s="19"/>
      <c r="D114" s="311" t="s">
        <v>368</v>
      </c>
      <c r="E114" s="311"/>
      <c r="F114" s="311"/>
      <c r="G114" s="19"/>
      <c r="H114" s="19"/>
      <c r="I114" s="19"/>
      <c r="V114" s="9" t="s">
        <v>379</v>
      </c>
      <c r="W114" s="14">
        <f>E39</f>
        <v>0</v>
      </c>
      <c r="X114" s="9" t="s">
        <v>375</v>
      </c>
    </row>
    <row r="115" spans="3:27" ht="38.25">
      <c r="C115" s="235" t="s">
        <v>380</v>
      </c>
      <c r="D115" s="51" t="s">
        <v>370</v>
      </c>
      <c r="E115" s="51" t="s">
        <v>371</v>
      </c>
      <c r="F115" s="51" t="s">
        <v>372</v>
      </c>
      <c r="G115" s="261" t="str">
        <f>"Beregnet utslipp over "&amp;'Generelt om prosjektet'!C29&amp;" år"</f>
        <v>Beregnet utslipp over  år</v>
      </c>
      <c r="H115" s="151" t="s">
        <v>172</v>
      </c>
      <c r="I115" s="19"/>
      <c r="V115" s="9" t="s">
        <v>381</v>
      </c>
      <c r="W115" s="9">
        <f>'Generelt om prosjektet'!C24</f>
        <v>50</v>
      </c>
      <c r="X115" s="9"/>
    </row>
    <row r="116" spans="3:27">
      <c r="C116" s="20" t="s">
        <v>373</v>
      </c>
      <c r="D116" s="262">
        <f>D111</f>
        <v>1.7747665114285747E-2</v>
      </c>
      <c r="E116" s="262">
        <f>Utslippsdata!C84</f>
        <v>6.5088487419817986E-2</v>
      </c>
      <c r="F116" s="20">
        <f>E37</f>
        <v>0</v>
      </c>
      <c r="G116" s="242">
        <f>(($W$111+$W$114)*D116+$W$112*E116+$W$113*F116)*$W$115/1000</f>
        <v>0</v>
      </c>
      <c r="H116" s="20" t="s">
        <v>374</v>
      </c>
      <c r="I116" s="19"/>
    </row>
    <row r="117" spans="3:27">
      <c r="C117" s="441" t="s">
        <v>376</v>
      </c>
      <c r="D117" s="442">
        <f>D112</f>
        <v>0.10462896495714274</v>
      </c>
      <c r="E117" s="442">
        <f>Utslippsdata!C81</f>
        <v>8.9146230660722248E-2</v>
      </c>
      <c r="F117" s="441">
        <f>E37</f>
        <v>0</v>
      </c>
      <c r="G117" s="443">
        <f>(($W$111+$W$114)*D117+$W$112*E117+$W$113*F117)*$W$115/1000</f>
        <v>0</v>
      </c>
      <c r="H117" s="441" t="s">
        <v>374</v>
      </c>
      <c r="I117" s="19"/>
    </row>
    <row r="118" spans="3:27">
      <c r="C118" s="19"/>
      <c r="D118" s="19"/>
      <c r="E118" s="19"/>
      <c r="F118" s="19"/>
      <c r="G118" s="19"/>
      <c r="H118" s="19"/>
      <c r="I118" s="19"/>
    </row>
    <row r="119" spans="3:27">
      <c r="C119" s="19"/>
      <c r="D119" s="19"/>
      <c r="E119" s="19"/>
      <c r="F119" s="19"/>
      <c r="G119" s="19"/>
      <c r="H119" s="19"/>
      <c r="I119" s="19"/>
    </row>
    <row r="122" spans="3:27" ht="15" customHeight="1"/>
    <row r="123" spans="3:27" ht="15" customHeight="1"/>
    <row r="124" spans="3:27" ht="15" customHeight="1"/>
    <row r="125" spans="3:27">
      <c r="AA125" s="9" t="s">
        <v>277</v>
      </c>
    </row>
    <row r="126" spans="3:27">
      <c r="AA126" s="9" t="s">
        <v>269</v>
      </c>
    </row>
    <row r="127" spans="3:27" ht="27">
      <c r="C127" s="1" t="s">
        <v>432</v>
      </c>
      <c r="D127" s="12"/>
    </row>
    <row r="128" spans="3:27" ht="15" customHeight="1">
      <c r="C128" s="132" t="s">
        <v>384</v>
      </c>
      <c r="D128" s="147" t="s">
        <v>269</v>
      </c>
    </row>
    <row r="130" spans="3:50" ht="15.75" thickBot="1">
      <c r="C130" s="5" t="s">
        <v>385</v>
      </c>
    </row>
    <row r="131" spans="3:50" ht="128.25">
      <c r="C131" s="263" t="s">
        <v>386</v>
      </c>
      <c r="D131" s="264" t="s">
        <v>347</v>
      </c>
      <c r="E131" s="264" t="s">
        <v>387</v>
      </c>
      <c r="F131" s="264" t="s">
        <v>388</v>
      </c>
      <c r="G131" s="264" t="s">
        <v>177</v>
      </c>
      <c r="H131" s="264" t="s">
        <v>354</v>
      </c>
      <c r="I131" s="264" t="s">
        <v>355</v>
      </c>
      <c r="J131" s="264" t="s">
        <v>356</v>
      </c>
      <c r="K131" s="264" t="s">
        <v>357</v>
      </c>
      <c r="L131" s="264" t="s">
        <v>361</v>
      </c>
      <c r="M131" s="264" t="s">
        <v>635</v>
      </c>
      <c r="N131" s="264" t="s">
        <v>389</v>
      </c>
      <c r="O131" s="264" t="s">
        <v>366</v>
      </c>
      <c r="P131" s="264" t="s">
        <v>180</v>
      </c>
      <c r="Q131" s="264" t="s">
        <v>390</v>
      </c>
      <c r="R131" s="148" t="s">
        <v>391</v>
      </c>
      <c r="S131" s="148" t="s">
        <v>391</v>
      </c>
      <c r="T131" s="148" t="s">
        <v>391</v>
      </c>
      <c r="U131" s="265"/>
      <c r="AK131" s="266">
        <v>1</v>
      </c>
      <c r="AL131" s="267">
        <v>2</v>
      </c>
      <c r="AM131" s="267">
        <v>3</v>
      </c>
      <c r="AN131" s="267">
        <v>4</v>
      </c>
      <c r="AO131" s="267">
        <v>5</v>
      </c>
      <c r="AP131" s="267">
        <v>6</v>
      </c>
      <c r="AQ131" s="267">
        <v>7</v>
      </c>
      <c r="AR131" s="267">
        <v>8</v>
      </c>
      <c r="AS131" s="267">
        <v>9</v>
      </c>
      <c r="AT131" s="267">
        <v>10</v>
      </c>
      <c r="AU131" s="267">
        <v>11</v>
      </c>
      <c r="AV131" s="267">
        <v>12</v>
      </c>
      <c r="AW131" s="267">
        <v>13</v>
      </c>
      <c r="AX131" s="45"/>
    </row>
    <row r="132" spans="3:50">
      <c r="C132" s="9" t="s">
        <v>392</v>
      </c>
      <c r="D132" s="145"/>
      <c r="E132" s="145"/>
      <c r="F132" s="145"/>
      <c r="G132" s="145"/>
      <c r="H132" s="145"/>
      <c r="I132" s="145"/>
      <c r="J132" s="145"/>
      <c r="K132" s="145"/>
      <c r="L132" s="145"/>
      <c r="M132" s="145"/>
      <c r="N132" s="145"/>
      <c r="O132" s="145"/>
      <c r="P132" s="145"/>
      <c r="Q132" s="145"/>
      <c r="R132" s="145"/>
      <c r="S132" s="145"/>
      <c r="T132" s="145"/>
      <c r="U132" s="265"/>
      <c r="AK132" s="46" t="s">
        <v>393</v>
      </c>
      <c r="AL132" s="2" t="s">
        <v>394</v>
      </c>
      <c r="AM132" s="2" t="s">
        <v>165</v>
      </c>
      <c r="AN132" s="2" t="s">
        <v>4</v>
      </c>
      <c r="AO132" s="2" t="s">
        <v>172</v>
      </c>
      <c r="AW132" s="2" t="s">
        <v>395</v>
      </c>
      <c r="AX132" s="47"/>
    </row>
    <row r="133" spans="3:50" ht="15">
      <c r="C133" s="9" t="s">
        <v>396</v>
      </c>
      <c r="D133" s="145"/>
      <c r="E133" s="145"/>
      <c r="F133" s="145"/>
      <c r="G133" s="145"/>
      <c r="H133" s="145"/>
      <c r="I133" s="145"/>
      <c r="J133" s="145"/>
      <c r="K133" s="145"/>
      <c r="L133" s="145"/>
      <c r="M133" s="145"/>
      <c r="N133" s="145"/>
      <c r="O133" s="145"/>
      <c r="P133" s="145"/>
      <c r="Q133" s="145"/>
      <c r="R133" s="145"/>
      <c r="S133" s="145"/>
      <c r="T133" s="145"/>
      <c r="U133" s="265"/>
      <c r="AK133" s="268" t="s">
        <v>188</v>
      </c>
      <c r="AL133" s="9"/>
      <c r="AM133" s="9"/>
      <c r="AN133" s="9"/>
      <c r="AW133" s="5" t="s">
        <v>397</v>
      </c>
      <c r="AX133" s="47"/>
    </row>
    <row r="134" spans="3:50">
      <c r="C134" s="9" t="s">
        <v>398</v>
      </c>
      <c r="D134" s="146"/>
      <c r="E134" s="146"/>
      <c r="F134" s="146"/>
      <c r="G134" s="146"/>
      <c r="H134" s="146"/>
      <c r="I134" s="146"/>
      <c r="J134" s="146"/>
      <c r="K134" s="146"/>
      <c r="L134" s="146"/>
      <c r="M134" s="146"/>
      <c r="N134" s="146"/>
      <c r="O134" s="146"/>
      <c r="P134" s="146"/>
      <c r="Q134" s="146"/>
      <c r="R134" s="146"/>
      <c r="S134" s="146"/>
      <c r="T134" s="146"/>
      <c r="AK134" s="268" t="s">
        <v>183</v>
      </c>
      <c r="AL134" s="9" t="s">
        <v>183</v>
      </c>
      <c r="AM134" s="9" t="s">
        <v>399</v>
      </c>
      <c r="AN134" s="9" t="s">
        <v>216</v>
      </c>
      <c r="AO134" s="269" t="s">
        <v>309</v>
      </c>
      <c r="AW134" s="9" t="s">
        <v>183</v>
      </c>
      <c r="AX134" s="47"/>
    </row>
    <row r="135" spans="3:50">
      <c r="C135" s="9" t="s">
        <v>400</v>
      </c>
      <c r="D135" s="146"/>
      <c r="E135" s="146"/>
      <c r="F135" s="146"/>
      <c r="G135" s="146"/>
      <c r="H135" s="146"/>
      <c r="I135" s="146"/>
      <c r="J135" s="146"/>
      <c r="K135" s="146"/>
      <c r="L135" s="146"/>
      <c r="M135" s="146"/>
      <c r="N135" s="146"/>
      <c r="O135" s="146"/>
      <c r="P135" s="146"/>
      <c r="Q135" s="146"/>
      <c r="R135" s="146"/>
      <c r="S135" s="146"/>
      <c r="T135" s="146"/>
      <c r="AK135" s="268" t="s">
        <v>185</v>
      </c>
      <c r="AL135" s="9" t="s">
        <v>185</v>
      </c>
      <c r="AM135" s="9" t="s">
        <v>401</v>
      </c>
      <c r="AN135" s="9" t="s">
        <v>220</v>
      </c>
      <c r="AO135" s="269" t="s">
        <v>309</v>
      </c>
      <c r="AR135" s="6" t="s">
        <v>402</v>
      </c>
      <c r="AW135" s="9" t="s">
        <v>185</v>
      </c>
      <c r="AX135" s="47"/>
    </row>
    <row r="136" spans="3:50">
      <c r="C136" s="9" t="s">
        <v>403</v>
      </c>
      <c r="D136" s="146"/>
      <c r="E136" s="146"/>
      <c r="F136" s="146"/>
      <c r="G136" s="146"/>
      <c r="H136" s="146"/>
      <c r="I136" s="146"/>
      <c r="J136" s="146"/>
      <c r="K136" s="146"/>
      <c r="L136" s="146"/>
      <c r="M136" s="146"/>
      <c r="N136" s="146"/>
      <c r="O136" s="146"/>
      <c r="P136" s="146"/>
      <c r="Q136" s="146"/>
      <c r="R136" s="146"/>
      <c r="S136" s="146"/>
      <c r="T136" s="146"/>
      <c r="AK136" s="268" t="s">
        <v>262</v>
      </c>
      <c r="AL136" s="9" t="s">
        <v>262</v>
      </c>
      <c r="AM136" s="9" t="s">
        <v>404</v>
      </c>
      <c r="AN136" s="9" t="s">
        <v>224</v>
      </c>
      <c r="AO136" s="269" t="s">
        <v>309</v>
      </c>
      <c r="AW136" s="9" t="s">
        <v>262</v>
      </c>
      <c r="AX136" s="47"/>
    </row>
    <row r="137" spans="3:50">
      <c r="C137" s="9" t="s">
        <v>405</v>
      </c>
      <c r="D137" s="146"/>
      <c r="E137" s="146"/>
      <c r="F137" s="146"/>
      <c r="G137" s="146"/>
      <c r="H137" s="146"/>
      <c r="I137" s="146"/>
      <c r="J137" s="146"/>
      <c r="K137" s="146"/>
      <c r="L137" s="146"/>
      <c r="M137" s="146"/>
      <c r="N137" s="146"/>
      <c r="O137" s="146"/>
      <c r="P137" s="146"/>
      <c r="Q137" s="146"/>
      <c r="R137" s="146"/>
      <c r="S137" s="146"/>
      <c r="T137" s="146"/>
      <c r="AK137" s="268" t="s">
        <v>279</v>
      </c>
      <c r="AL137" s="9" t="s">
        <v>279</v>
      </c>
      <c r="AM137" s="9" t="s">
        <v>406</v>
      </c>
      <c r="AN137" s="9" t="s">
        <v>230</v>
      </c>
      <c r="AO137" s="269"/>
      <c r="AQ137" s="2" t="s">
        <v>407</v>
      </c>
      <c r="AR137" s="2" t="s">
        <v>408</v>
      </c>
      <c r="AS137" s="2" t="s">
        <v>408</v>
      </c>
      <c r="AW137" s="9" t="s">
        <v>279</v>
      </c>
      <c r="AX137" s="47"/>
    </row>
    <row r="138" spans="3:50">
      <c r="C138" s="9" t="s">
        <v>409</v>
      </c>
      <c r="D138" s="146"/>
      <c r="E138" s="146"/>
      <c r="F138" s="146"/>
      <c r="G138" s="146"/>
      <c r="H138" s="146"/>
      <c r="I138" s="146"/>
      <c r="J138" s="146"/>
      <c r="K138" s="146"/>
      <c r="L138" s="146"/>
      <c r="M138" s="146"/>
      <c r="N138" s="146"/>
      <c r="O138" s="146"/>
      <c r="P138" s="146"/>
      <c r="Q138" s="146"/>
      <c r="R138" s="146"/>
      <c r="S138" s="146"/>
      <c r="T138" s="146"/>
      <c r="AK138" s="268" t="s">
        <v>267</v>
      </c>
      <c r="AL138" s="9" t="s">
        <v>267</v>
      </c>
      <c r="AM138" s="9" t="s">
        <v>410</v>
      </c>
      <c r="AN138" s="9" t="s">
        <v>241</v>
      </c>
      <c r="AO138" s="269" t="s">
        <v>309</v>
      </c>
      <c r="AW138" s="9" t="s">
        <v>267</v>
      </c>
      <c r="AX138" s="47"/>
    </row>
    <row r="139" spans="3:50">
      <c r="C139" s="9" t="s">
        <v>411</v>
      </c>
      <c r="D139" s="146"/>
      <c r="E139" s="146"/>
      <c r="F139" s="146"/>
      <c r="G139" s="146"/>
      <c r="H139" s="146"/>
      <c r="I139" s="146"/>
      <c r="J139" s="146"/>
      <c r="K139" s="146"/>
      <c r="L139" s="146"/>
      <c r="M139" s="146"/>
      <c r="N139" s="146"/>
      <c r="O139" s="146"/>
      <c r="P139" s="146"/>
      <c r="Q139" s="146"/>
      <c r="R139" s="146"/>
      <c r="S139" s="146"/>
      <c r="T139" s="146"/>
      <c r="AK139" s="268" t="s">
        <v>243</v>
      </c>
      <c r="AL139" s="9" t="s">
        <v>412</v>
      </c>
      <c r="AM139" s="9" t="s">
        <v>413</v>
      </c>
      <c r="AN139" s="9" t="s">
        <v>248</v>
      </c>
      <c r="AO139" s="269" t="s">
        <v>309</v>
      </c>
      <c r="AW139" s="9" t="s">
        <v>412</v>
      </c>
      <c r="AX139" s="47"/>
    </row>
    <row r="140" spans="3:50">
      <c r="C140" s="147" t="s">
        <v>391</v>
      </c>
      <c r="D140" s="146"/>
      <c r="E140" s="146"/>
      <c r="F140" s="146"/>
      <c r="G140" s="146"/>
      <c r="H140" s="146"/>
      <c r="I140" s="146"/>
      <c r="J140" s="146"/>
      <c r="K140" s="146"/>
      <c r="L140" s="146"/>
      <c r="M140" s="146"/>
      <c r="N140" s="146"/>
      <c r="O140" s="146"/>
      <c r="P140" s="146"/>
      <c r="Q140" s="146"/>
      <c r="R140" s="146"/>
      <c r="S140" s="146"/>
      <c r="T140" s="146"/>
      <c r="AK140" s="268" t="s">
        <v>254</v>
      </c>
      <c r="AL140" s="9"/>
      <c r="AM140" s="9" t="s">
        <v>414</v>
      </c>
      <c r="AN140" s="9" t="s">
        <v>252</v>
      </c>
      <c r="AO140" s="269" t="s">
        <v>309</v>
      </c>
      <c r="AW140" s="270" t="s">
        <v>185</v>
      </c>
      <c r="AX140" s="47"/>
    </row>
    <row r="141" spans="3:50">
      <c r="C141" s="147" t="s">
        <v>391</v>
      </c>
      <c r="D141" s="146"/>
      <c r="E141" s="146"/>
      <c r="F141" s="146"/>
      <c r="G141" s="146"/>
      <c r="H141" s="146"/>
      <c r="I141" s="146"/>
      <c r="J141" s="146"/>
      <c r="K141" s="146"/>
      <c r="L141" s="146"/>
      <c r="M141" s="146"/>
      <c r="N141" s="146"/>
      <c r="O141" s="146"/>
      <c r="P141" s="146"/>
      <c r="Q141" s="146"/>
      <c r="R141" s="146"/>
      <c r="S141" s="146"/>
      <c r="T141" s="146"/>
      <c r="AK141" s="268" t="s">
        <v>280</v>
      </c>
      <c r="AL141" s="9"/>
      <c r="AM141" s="9" t="s">
        <v>415</v>
      </c>
      <c r="AN141" s="9" t="s">
        <v>257</v>
      </c>
      <c r="AO141" s="269" t="s">
        <v>309</v>
      </c>
      <c r="AX141" s="47"/>
    </row>
    <row r="142" spans="3:50">
      <c r="C142" s="147" t="s">
        <v>391</v>
      </c>
      <c r="D142" s="146"/>
      <c r="E142" s="146"/>
      <c r="F142" s="146"/>
      <c r="G142" s="146"/>
      <c r="H142" s="146"/>
      <c r="I142" s="146"/>
      <c r="J142" s="146"/>
      <c r="K142" s="146"/>
      <c r="L142" s="146"/>
      <c r="M142" s="146"/>
      <c r="N142" s="146"/>
      <c r="O142" s="146"/>
      <c r="P142" s="146"/>
      <c r="Q142" s="146"/>
      <c r="R142" s="146"/>
      <c r="S142" s="146"/>
      <c r="T142" s="146"/>
      <c r="AK142" s="268" t="s">
        <v>272</v>
      </c>
      <c r="AL142" s="9"/>
      <c r="AM142" s="9" t="s">
        <v>416</v>
      </c>
      <c r="AN142" s="9" t="s">
        <v>260</v>
      </c>
      <c r="AO142" s="269" t="s">
        <v>309</v>
      </c>
      <c r="AW142" s="9" t="s">
        <v>185</v>
      </c>
      <c r="AX142" s="47"/>
    </row>
    <row r="143" spans="3:50" ht="15">
      <c r="C143" s="271" t="s">
        <v>417</v>
      </c>
      <c r="D143" s="271">
        <f t="shared" ref="D143:T143" si="22">SUM(D132:D142)</f>
        <v>0</v>
      </c>
      <c r="E143" s="271">
        <f t="shared" si="22"/>
        <v>0</v>
      </c>
      <c r="F143" s="271">
        <f t="shared" si="22"/>
        <v>0</v>
      </c>
      <c r="G143" s="271">
        <f t="shared" si="22"/>
        <v>0</v>
      </c>
      <c r="H143" s="271">
        <f t="shared" si="22"/>
        <v>0</v>
      </c>
      <c r="I143" s="271">
        <f t="shared" si="22"/>
        <v>0</v>
      </c>
      <c r="J143" s="271">
        <f t="shared" si="22"/>
        <v>0</v>
      </c>
      <c r="K143" s="271">
        <f t="shared" si="22"/>
        <v>0</v>
      </c>
      <c r="L143" s="271">
        <f t="shared" si="22"/>
        <v>0</v>
      </c>
      <c r="M143" s="271">
        <f t="shared" si="22"/>
        <v>0</v>
      </c>
      <c r="N143" s="271">
        <f t="shared" si="22"/>
        <v>0</v>
      </c>
      <c r="O143" s="271">
        <f t="shared" si="22"/>
        <v>0</v>
      </c>
      <c r="P143" s="271">
        <f t="shared" si="22"/>
        <v>0</v>
      </c>
      <c r="Q143" s="271">
        <f t="shared" si="22"/>
        <v>0</v>
      </c>
      <c r="R143" s="271">
        <f t="shared" si="22"/>
        <v>0</v>
      </c>
      <c r="S143" s="271">
        <f t="shared" si="22"/>
        <v>0</v>
      </c>
      <c r="T143" s="271">
        <f t="shared" si="22"/>
        <v>0</v>
      </c>
      <c r="AK143" s="268" t="s">
        <v>276</v>
      </c>
      <c r="AL143" s="9" t="s">
        <v>418</v>
      </c>
      <c r="AM143" s="9" t="s">
        <v>419</v>
      </c>
      <c r="AN143" s="9" t="s">
        <v>230</v>
      </c>
      <c r="AO143" s="269"/>
      <c r="AQ143" s="2" t="s">
        <v>407</v>
      </c>
      <c r="AR143" s="2" t="s">
        <v>408</v>
      </c>
      <c r="AW143" s="9" t="s">
        <v>418</v>
      </c>
      <c r="AX143" s="47"/>
    </row>
    <row r="144" spans="3:50">
      <c r="I144" s="6"/>
      <c r="AK144" s="268" t="s">
        <v>286</v>
      </c>
      <c r="AL144" s="9" t="s">
        <v>418</v>
      </c>
      <c r="AM144" s="9" t="s">
        <v>420</v>
      </c>
      <c r="AN144" s="9" t="s">
        <v>230</v>
      </c>
      <c r="AO144" s="269"/>
      <c r="AQ144" s="2" t="s">
        <v>407</v>
      </c>
      <c r="AR144" s="2" t="s">
        <v>408</v>
      </c>
      <c r="AW144" s="9" t="s">
        <v>418</v>
      </c>
      <c r="AX144" s="47"/>
    </row>
    <row r="145" spans="3:50">
      <c r="AK145" s="268" t="s">
        <v>421</v>
      </c>
      <c r="AL145" s="9"/>
      <c r="AM145" s="9" t="s">
        <v>422</v>
      </c>
      <c r="AN145" s="9" t="s">
        <v>230</v>
      </c>
      <c r="AO145" s="269"/>
      <c r="AQ145" s="2" t="s">
        <v>407</v>
      </c>
      <c r="AR145" s="2" t="s">
        <v>408</v>
      </c>
      <c r="AW145" s="2" t="s">
        <v>423</v>
      </c>
      <c r="AX145" s="47"/>
    </row>
    <row r="146" spans="3:50" ht="15">
      <c r="C146" s="5" t="s">
        <v>424</v>
      </c>
      <c r="AK146" s="46"/>
      <c r="AX146" s="47"/>
    </row>
    <row r="147" spans="3:50" ht="128.25">
      <c r="C147" s="11" t="s">
        <v>386</v>
      </c>
      <c r="D147" s="264" t="s">
        <v>347</v>
      </c>
      <c r="E147" s="264" t="s">
        <v>387</v>
      </c>
      <c r="F147" s="264" t="s">
        <v>388</v>
      </c>
      <c r="G147" s="264" t="s">
        <v>177</v>
      </c>
      <c r="H147" s="264" t="s">
        <v>354</v>
      </c>
      <c r="I147" s="264" t="s">
        <v>355</v>
      </c>
      <c r="J147" s="264" t="s">
        <v>356</v>
      </c>
      <c r="K147" s="264" t="s">
        <v>357</v>
      </c>
      <c r="L147" s="264" t="s">
        <v>361</v>
      </c>
      <c r="M147" s="264" t="s">
        <v>635</v>
      </c>
      <c r="N147" s="264" t="s">
        <v>389</v>
      </c>
      <c r="O147" s="264" t="s">
        <v>366</v>
      </c>
      <c r="P147" s="264" t="s">
        <v>180</v>
      </c>
      <c r="Q147" s="264" t="s">
        <v>390</v>
      </c>
      <c r="R147" s="148" t="s">
        <v>391</v>
      </c>
      <c r="S147" s="148" t="s">
        <v>391</v>
      </c>
      <c r="T147" s="148" t="s">
        <v>391</v>
      </c>
      <c r="AK147" s="46" t="str">
        <f>AK133</f>
        <v>Velg arealtype</v>
      </c>
      <c r="AX147" s="47"/>
    </row>
    <row r="148" spans="3:50">
      <c r="C148" s="9" t="s">
        <v>392</v>
      </c>
      <c r="D148" s="145"/>
      <c r="E148" s="145"/>
      <c r="F148" s="145"/>
      <c r="G148" s="145"/>
      <c r="H148" s="145"/>
      <c r="I148" s="145"/>
      <c r="J148" s="145"/>
      <c r="K148" s="145"/>
      <c r="L148" s="145"/>
      <c r="M148" s="145"/>
      <c r="N148" s="145"/>
      <c r="O148" s="145"/>
      <c r="P148" s="145"/>
      <c r="Q148" s="145"/>
      <c r="R148" s="145"/>
      <c r="S148" s="145"/>
      <c r="T148" s="145"/>
      <c r="AK148" s="268" t="s">
        <v>150</v>
      </c>
      <c r="AL148" s="9" t="s">
        <v>425</v>
      </c>
      <c r="AM148" s="9" t="s">
        <v>426</v>
      </c>
      <c r="AN148" s="9" t="s">
        <v>230</v>
      </c>
      <c r="AO148" s="269"/>
      <c r="AQ148" s="2" t="s">
        <v>407</v>
      </c>
      <c r="AR148" s="2" t="s">
        <v>408</v>
      </c>
      <c r="AW148" s="9" t="s">
        <v>425</v>
      </c>
      <c r="AX148" s="47"/>
    </row>
    <row r="149" spans="3:50">
      <c r="C149" s="9" t="s">
        <v>396</v>
      </c>
      <c r="D149" s="145"/>
      <c r="E149" s="145"/>
      <c r="F149" s="145"/>
      <c r="G149" s="145"/>
      <c r="H149" s="145"/>
      <c r="I149" s="145"/>
      <c r="J149" s="145"/>
      <c r="K149" s="145"/>
      <c r="L149" s="145"/>
      <c r="M149" s="145"/>
      <c r="N149" s="145"/>
      <c r="O149" s="145"/>
      <c r="P149" s="145"/>
      <c r="Q149" s="145"/>
      <c r="R149" s="145"/>
      <c r="S149" s="145"/>
      <c r="T149" s="145"/>
      <c r="AK149" s="268" t="s">
        <v>148</v>
      </c>
      <c r="AL149" s="9" t="s">
        <v>427</v>
      </c>
      <c r="AM149" s="9" t="s">
        <v>428</v>
      </c>
      <c r="AN149" s="9" t="s">
        <v>266</v>
      </c>
      <c r="AO149" s="269" t="s">
        <v>309</v>
      </c>
      <c r="AW149" s="9" t="s">
        <v>427</v>
      </c>
      <c r="AX149" s="47"/>
    </row>
    <row r="150" spans="3:50">
      <c r="C150" s="9" t="s">
        <v>398</v>
      </c>
      <c r="D150" s="146"/>
      <c r="E150" s="146"/>
      <c r="F150" s="146"/>
      <c r="G150" s="146"/>
      <c r="H150" s="146"/>
      <c r="I150" s="146"/>
      <c r="J150" s="146"/>
      <c r="K150" s="146"/>
      <c r="L150" s="146"/>
      <c r="M150" s="146"/>
      <c r="N150" s="146"/>
      <c r="O150" s="146"/>
      <c r="P150" s="146"/>
      <c r="Q150" s="146"/>
      <c r="R150" s="146"/>
      <c r="S150" s="146"/>
      <c r="T150" s="146"/>
      <c r="AK150" s="268"/>
      <c r="AL150" s="9"/>
      <c r="AM150" s="9"/>
      <c r="AN150" s="9"/>
      <c r="AX150" s="47"/>
    </row>
    <row r="151" spans="3:50" ht="15" thickBot="1">
      <c r="C151" s="9" t="s">
        <v>400</v>
      </c>
      <c r="D151" s="146"/>
      <c r="E151" s="146"/>
      <c r="F151" s="146"/>
      <c r="G151" s="146"/>
      <c r="H151" s="146"/>
      <c r="I151" s="146"/>
      <c r="J151" s="146"/>
      <c r="K151" s="146"/>
      <c r="L151" s="146"/>
      <c r="M151" s="146"/>
      <c r="N151" s="146"/>
      <c r="O151" s="146"/>
      <c r="P151" s="146"/>
      <c r="Q151" s="146"/>
      <c r="R151" s="146"/>
      <c r="S151" s="146"/>
      <c r="T151" s="146"/>
      <c r="AK151" s="272" t="s">
        <v>429</v>
      </c>
      <c r="AL151" s="273"/>
      <c r="AM151" s="273"/>
      <c r="AN151" s="273"/>
      <c r="AO151" s="49"/>
      <c r="AP151" s="49"/>
      <c r="AQ151" s="49"/>
      <c r="AR151" s="49"/>
      <c r="AS151" s="49"/>
      <c r="AT151" s="49"/>
      <c r="AU151" s="49"/>
      <c r="AV151" s="49"/>
      <c r="AW151" s="49"/>
      <c r="AX151" s="50"/>
    </row>
    <row r="152" spans="3:50">
      <c r="C152" s="9" t="s">
        <v>403</v>
      </c>
      <c r="D152" s="146"/>
      <c r="E152" s="146"/>
      <c r="F152" s="146"/>
      <c r="G152" s="146"/>
      <c r="H152" s="146"/>
      <c r="I152" s="146"/>
      <c r="J152" s="146"/>
      <c r="K152" s="146"/>
      <c r="L152" s="146"/>
      <c r="M152" s="146"/>
      <c r="N152" s="146"/>
      <c r="O152" s="146"/>
      <c r="P152" s="146"/>
      <c r="Q152" s="146"/>
      <c r="R152" s="146"/>
      <c r="S152" s="146"/>
      <c r="T152" s="146"/>
    </row>
    <row r="153" spans="3:50">
      <c r="C153" s="9" t="s">
        <v>405</v>
      </c>
      <c r="D153" s="146"/>
      <c r="E153" s="146"/>
      <c r="F153" s="146"/>
      <c r="G153" s="146"/>
      <c r="H153" s="146"/>
      <c r="I153" s="146"/>
      <c r="J153" s="146"/>
      <c r="K153" s="146"/>
      <c r="L153" s="146"/>
      <c r="M153" s="146"/>
      <c r="N153" s="146"/>
      <c r="O153" s="146"/>
      <c r="P153" s="146"/>
      <c r="Q153" s="146"/>
      <c r="R153" s="146"/>
      <c r="S153" s="146"/>
      <c r="T153" s="146"/>
    </row>
    <row r="154" spans="3:50">
      <c r="C154" s="9" t="s">
        <v>409</v>
      </c>
      <c r="D154" s="146"/>
      <c r="E154" s="146"/>
      <c r="F154" s="146"/>
      <c r="G154" s="146"/>
      <c r="H154" s="146"/>
      <c r="I154" s="146"/>
      <c r="J154" s="146"/>
      <c r="K154" s="146"/>
      <c r="L154" s="146"/>
      <c r="M154" s="146"/>
      <c r="N154" s="146"/>
      <c r="O154" s="146"/>
      <c r="P154" s="146"/>
      <c r="Q154" s="146"/>
      <c r="R154" s="146"/>
      <c r="S154" s="146"/>
      <c r="T154" s="146"/>
    </row>
    <row r="155" spans="3:50">
      <c r="C155" s="9" t="s">
        <v>411</v>
      </c>
      <c r="D155" s="146"/>
      <c r="E155" s="146"/>
      <c r="F155" s="146"/>
      <c r="G155" s="146"/>
      <c r="H155" s="146"/>
      <c r="I155" s="146"/>
      <c r="J155" s="146"/>
      <c r="K155" s="146"/>
      <c r="L155" s="146"/>
      <c r="M155" s="146"/>
      <c r="N155" s="146"/>
      <c r="O155" s="146"/>
      <c r="P155" s="146"/>
      <c r="Q155" s="146"/>
      <c r="R155" s="146"/>
      <c r="S155" s="146"/>
      <c r="T155" s="146"/>
    </row>
    <row r="156" spans="3:50">
      <c r="C156" s="147" t="s">
        <v>391</v>
      </c>
      <c r="D156" s="146"/>
      <c r="E156" s="146"/>
      <c r="F156" s="146"/>
      <c r="G156" s="146"/>
      <c r="H156" s="146"/>
      <c r="I156" s="146"/>
      <c r="J156" s="146"/>
      <c r="K156" s="146"/>
      <c r="L156" s="146"/>
      <c r="M156" s="146"/>
      <c r="N156" s="146"/>
      <c r="O156" s="146"/>
      <c r="P156" s="146"/>
      <c r="Q156" s="146"/>
      <c r="R156" s="146"/>
      <c r="S156" s="146"/>
      <c r="T156" s="146"/>
    </row>
    <row r="157" spans="3:50">
      <c r="C157" s="147" t="s">
        <v>391</v>
      </c>
      <c r="D157" s="146"/>
      <c r="E157" s="146"/>
      <c r="F157" s="146"/>
      <c r="G157" s="146"/>
      <c r="H157" s="146"/>
      <c r="I157" s="146"/>
      <c r="J157" s="146"/>
      <c r="K157" s="146"/>
      <c r="L157" s="146"/>
      <c r="M157" s="146"/>
      <c r="N157" s="146"/>
      <c r="O157" s="146"/>
      <c r="P157" s="146"/>
      <c r="Q157" s="146"/>
      <c r="R157" s="146"/>
      <c r="S157" s="146"/>
      <c r="T157" s="146"/>
    </row>
    <row r="158" spans="3:50">
      <c r="C158" s="147" t="s">
        <v>391</v>
      </c>
      <c r="D158" s="146"/>
      <c r="E158" s="146"/>
      <c r="F158" s="146"/>
      <c r="G158" s="146"/>
      <c r="H158" s="146"/>
      <c r="I158" s="146"/>
      <c r="J158" s="146"/>
      <c r="K158" s="146"/>
      <c r="L158" s="146"/>
      <c r="M158" s="146"/>
      <c r="N158" s="146"/>
      <c r="O158" s="146"/>
      <c r="P158" s="146"/>
      <c r="Q158" s="146"/>
      <c r="R158" s="146"/>
      <c r="S158" s="146"/>
      <c r="T158" s="146"/>
    </row>
    <row r="159" spans="3:50" ht="15">
      <c r="C159" s="271" t="s">
        <v>417</v>
      </c>
      <c r="D159" s="271">
        <f t="shared" ref="D159:T159" si="23">SUM(D148:D158)</f>
        <v>0</v>
      </c>
      <c r="E159" s="271">
        <f t="shared" si="23"/>
        <v>0</v>
      </c>
      <c r="F159" s="271">
        <f t="shared" si="23"/>
        <v>0</v>
      </c>
      <c r="G159" s="271">
        <f t="shared" si="23"/>
        <v>0</v>
      </c>
      <c r="H159" s="271">
        <f t="shared" si="23"/>
        <v>0</v>
      </c>
      <c r="I159" s="271">
        <f t="shared" si="23"/>
        <v>0</v>
      </c>
      <c r="J159" s="271">
        <f t="shared" si="23"/>
        <v>0</v>
      </c>
      <c r="K159" s="271">
        <f t="shared" si="23"/>
        <v>0</v>
      </c>
      <c r="L159" s="271">
        <f t="shared" si="23"/>
        <v>0</v>
      </c>
      <c r="M159" s="271">
        <f t="shared" si="23"/>
        <v>0</v>
      </c>
      <c r="N159" s="271">
        <f t="shared" si="23"/>
        <v>0</v>
      </c>
      <c r="O159" s="271">
        <f t="shared" si="23"/>
        <v>0</v>
      </c>
      <c r="P159" s="271">
        <f t="shared" si="23"/>
        <v>0</v>
      </c>
      <c r="Q159" s="271">
        <f t="shared" si="23"/>
        <v>0</v>
      </c>
      <c r="R159" s="271">
        <f t="shared" si="23"/>
        <v>0</v>
      </c>
      <c r="S159" s="271">
        <f t="shared" si="23"/>
        <v>0</v>
      </c>
      <c r="T159" s="271">
        <f t="shared" si="23"/>
        <v>0</v>
      </c>
    </row>
  </sheetData>
  <sheetProtection algorithmName="SHA-512" hashValue="Fjh+FMzk2gug7VtYpbElyu+MW5AGj+SsPtpKlAqDV2K3NMlCbM2Ckxny2Yt4wmz2G9OWAVnYyhPb51oeLMd7mw==" saltValue="w2h7t8Git1IAd3ngaE37Sg==" spinCount="100000" sheet="1" objects="1" scenarios="1"/>
  <mergeCells count="94">
    <mergeCell ref="AN16:BB16"/>
    <mergeCell ref="E17:F17"/>
    <mergeCell ref="G17:H17"/>
    <mergeCell ref="I17:J17"/>
    <mergeCell ref="K17:K18"/>
    <mergeCell ref="L17:N17"/>
    <mergeCell ref="AG17:AK17"/>
    <mergeCell ref="AN17:AR17"/>
    <mergeCell ref="AS17:AW17"/>
    <mergeCell ref="AX17:BB17"/>
    <mergeCell ref="D11:O11"/>
    <mergeCell ref="V1:BB1"/>
    <mergeCell ref="C7:O7"/>
    <mergeCell ref="D8:O8"/>
    <mergeCell ref="D9:O9"/>
    <mergeCell ref="D10:O10"/>
    <mergeCell ref="E26:F26"/>
    <mergeCell ref="G26:H26"/>
    <mergeCell ref="E25:F25"/>
    <mergeCell ref="G25:H25"/>
    <mergeCell ref="I25:J25"/>
    <mergeCell ref="G30:J30"/>
    <mergeCell ref="G31:J31"/>
    <mergeCell ref="G32:J32"/>
    <mergeCell ref="E27:F27"/>
    <mergeCell ref="G27:H27"/>
    <mergeCell ref="I27:J27"/>
    <mergeCell ref="G34:J34"/>
    <mergeCell ref="G35:J35"/>
    <mergeCell ref="D48:D49"/>
    <mergeCell ref="E48:E49"/>
    <mergeCell ref="F48:F49"/>
    <mergeCell ref="G48:G49"/>
    <mergeCell ref="H48:J49"/>
    <mergeCell ref="F57:J57"/>
    <mergeCell ref="AO36:AT36"/>
    <mergeCell ref="G37:J37"/>
    <mergeCell ref="G38:J38"/>
    <mergeCell ref="G39:J39"/>
    <mergeCell ref="F44:J44"/>
    <mergeCell ref="G36:J36"/>
    <mergeCell ref="H50:J50"/>
    <mergeCell ref="H51:J51"/>
    <mergeCell ref="F54:J54"/>
    <mergeCell ref="F55:J55"/>
    <mergeCell ref="F56:J56"/>
    <mergeCell ref="C78:C79"/>
    <mergeCell ref="D78:G78"/>
    <mergeCell ref="H78:H79"/>
    <mergeCell ref="F60:J60"/>
    <mergeCell ref="F61:J61"/>
    <mergeCell ref="F62:J62"/>
    <mergeCell ref="F63:J63"/>
    <mergeCell ref="F64:J64"/>
    <mergeCell ref="F65:J65"/>
    <mergeCell ref="I80:L80"/>
    <mergeCell ref="I81:L81"/>
    <mergeCell ref="I82:L82"/>
    <mergeCell ref="I83:L83"/>
    <mergeCell ref="I84:L84"/>
    <mergeCell ref="V65:Z65"/>
    <mergeCell ref="F66:J66"/>
    <mergeCell ref="G67:J67"/>
    <mergeCell ref="G68:J68"/>
    <mergeCell ref="G69:J69"/>
    <mergeCell ref="I90:L90"/>
    <mergeCell ref="I91:L91"/>
    <mergeCell ref="I92:L92"/>
    <mergeCell ref="D85:F85"/>
    <mergeCell ref="I85:L85"/>
    <mergeCell ref="D114:F114"/>
    <mergeCell ref="C96:C97"/>
    <mergeCell ref="D96:H96"/>
    <mergeCell ref="G97:H97"/>
    <mergeCell ref="D98:E98"/>
    <mergeCell ref="G98:H98"/>
    <mergeCell ref="D99:E99"/>
    <mergeCell ref="G99:H99"/>
    <mergeCell ref="BD15:BO15"/>
    <mergeCell ref="BF17:BJ17"/>
    <mergeCell ref="I99:L99"/>
    <mergeCell ref="C100:L103"/>
    <mergeCell ref="D109:F109"/>
    <mergeCell ref="I98:L98"/>
    <mergeCell ref="I93:L93"/>
    <mergeCell ref="D86:F86"/>
    <mergeCell ref="I86:L86"/>
    <mergeCell ref="D87:F87"/>
    <mergeCell ref="H87:H88"/>
    <mergeCell ref="I87:L87"/>
    <mergeCell ref="D88:F88"/>
    <mergeCell ref="I88:L88"/>
    <mergeCell ref="I89:L89"/>
    <mergeCell ref="D90:F90"/>
  </mergeCells>
  <conditionalFormatting sqref="C44:F44 C43:J43 C45:C46">
    <cfRule type="expression" dxfId="124" priority="27">
      <formula>$V$46=0</formula>
    </cfRule>
  </conditionalFormatting>
  <conditionalFormatting sqref="C29:J30">
    <cfRule type="expression" dxfId="123" priority="34">
      <formula>$V$40=0</formula>
    </cfRule>
  </conditionalFormatting>
  <conditionalFormatting sqref="C130:T159">
    <cfRule type="expression" dxfId="122" priority="4">
      <formula>$D$128=$AA$126</formula>
    </cfRule>
  </conditionalFormatting>
  <conditionalFormatting sqref="D80:D91">
    <cfRule type="expression" dxfId="121" priority="43">
      <formula>$V$29=0</formula>
    </cfRule>
  </conditionalFormatting>
  <conditionalFormatting sqref="D81">
    <cfRule type="expression" dxfId="120" priority="3">
      <formula>$E$25+$E$26=0</formula>
    </cfRule>
  </conditionalFormatting>
  <conditionalFormatting sqref="D92">
    <cfRule type="expression" dxfId="119" priority="6">
      <formula>$D$92=0</formula>
    </cfRule>
    <cfRule type="expression" dxfId="118" priority="47">
      <formula>$E$44&lt;&gt;Nei</formula>
    </cfRule>
  </conditionalFormatting>
  <conditionalFormatting sqref="D85:F85">
    <cfRule type="expression" dxfId="117" priority="1">
      <formula>$V$32&gt;0</formula>
    </cfRule>
  </conditionalFormatting>
  <conditionalFormatting sqref="D86:F86">
    <cfRule type="expression" dxfId="116" priority="9">
      <formula>$D$86=0</formula>
    </cfRule>
  </conditionalFormatting>
  <conditionalFormatting sqref="D86:F88 D90:F90">
    <cfRule type="expression" dxfId="115" priority="10">
      <formula>$V$32&gt;0</formula>
    </cfRule>
  </conditionalFormatting>
  <conditionalFormatting sqref="D87:F87">
    <cfRule type="expression" dxfId="114" priority="8">
      <formula>$D$87=0</formula>
    </cfRule>
  </conditionalFormatting>
  <conditionalFormatting sqref="D88:F88">
    <cfRule type="expression" dxfId="113" priority="7">
      <formula>$D$88=0</formula>
    </cfRule>
  </conditionalFormatting>
  <conditionalFormatting sqref="D90:F90">
    <cfRule type="expression" dxfId="112" priority="2">
      <formula>$D$90=0</formula>
    </cfRule>
  </conditionalFormatting>
  <conditionalFormatting sqref="E37">
    <cfRule type="expression" dxfId="111" priority="11">
      <formula>$E$36=""</formula>
    </cfRule>
    <cfRule type="expression" dxfId="110" priority="12">
      <formula>$E$36=0</formula>
    </cfRule>
  </conditionalFormatting>
  <conditionalFormatting sqref="E80:E84 E89 E91">
    <cfRule type="expression" dxfId="109" priority="44">
      <formula>$W$29=0</formula>
    </cfRule>
  </conditionalFormatting>
  <conditionalFormatting sqref="E25:F26">
    <cfRule type="expression" dxfId="108" priority="37">
      <formula>$V$29=0</formula>
    </cfRule>
    <cfRule type="expression" dxfId="107" priority="38">
      <formula>$V$29&gt;0</formula>
    </cfRule>
  </conditionalFormatting>
  <conditionalFormatting sqref="E19:J24">
    <cfRule type="expression" dxfId="106" priority="25">
      <formula>$W19=0</formula>
    </cfRule>
    <cfRule type="expression" dxfId="105" priority="26">
      <formula>$W19=1</formula>
    </cfRule>
  </conditionalFormatting>
  <conditionalFormatting sqref="F82:F84 F89 F91">
    <cfRule type="expression" dxfId="104" priority="45">
      <formula>$V$30=0</formula>
    </cfRule>
  </conditionalFormatting>
  <conditionalFormatting sqref="F44:J44">
    <cfRule type="expression" dxfId="103" priority="13">
      <formula>$V$46=0</formula>
    </cfRule>
  </conditionalFormatting>
  <conditionalFormatting sqref="G25:H26">
    <cfRule type="expression" dxfId="102" priority="39">
      <formula>$W$29=0</formula>
    </cfRule>
    <cfRule type="expression" dxfId="101" priority="40">
      <formula>$W$29&gt;0</formula>
    </cfRule>
  </conditionalFormatting>
  <conditionalFormatting sqref="G27:H27">
    <cfRule type="expression" dxfId="100" priority="46">
      <formula>$W$29&gt;0</formula>
    </cfRule>
  </conditionalFormatting>
  <conditionalFormatting sqref="H85">
    <cfRule type="iconSet" priority="21">
      <iconSet>
        <cfvo type="percent" val="0"/>
        <cfvo type="percent" val="33"/>
        <cfvo type="percent" val="67"/>
      </iconSet>
    </cfRule>
  </conditionalFormatting>
  <conditionalFormatting sqref="I27:J27">
    <cfRule type="expression" dxfId="99" priority="41">
      <formula>$X$29=0</formula>
    </cfRule>
    <cfRule type="expression" dxfId="98" priority="42">
      <formula>$X$29&gt;0</formula>
    </cfRule>
  </conditionalFormatting>
  <conditionalFormatting sqref="K19:K24">
    <cfRule type="expression" dxfId="97" priority="33">
      <formula>V19=1</formula>
    </cfRule>
  </conditionalFormatting>
  <conditionalFormatting sqref="M19:N24">
    <cfRule type="expression" dxfId="96" priority="29">
      <formula>$X19=0</formula>
    </cfRule>
    <cfRule type="expression" dxfId="95" priority="30">
      <formula>$X19=1</formula>
    </cfRule>
  </conditionalFormatting>
  <conditionalFormatting sqref="N19:N24">
    <cfRule type="expression" dxfId="94" priority="28">
      <formula>$L19&lt;&gt;""</formula>
    </cfRule>
  </conditionalFormatting>
  <conditionalFormatting sqref="AB4:AC4">
    <cfRule type="expression" dxfId="93" priority="5">
      <formula>$Z$11=0</formula>
    </cfRule>
  </conditionalFormatting>
  <dataValidations count="7">
    <dataValidation type="list" allowBlank="1" showInputMessage="1" showErrorMessage="1" sqref="D128" xr:uid="{1068276F-F256-4E3B-8D9D-B5B9AA46FEAD}">
      <formula1>$AA$125:$AA$126</formula1>
    </dataValidation>
    <dataValidation type="list" allowBlank="1" showInputMessage="1" showErrorMessage="1" sqref="D19:D22" xr:uid="{22A82EAF-28C8-4795-9176-AC0E5A567E18}">
      <formula1>$AK$133:$AK$145</formula1>
    </dataValidation>
    <dataValidation type="list" allowBlank="1" showInputMessage="1" showErrorMessage="1" sqref="D23:D24" xr:uid="{84AFD656-BA84-4447-8885-A73502714A44}">
      <formula1>$AK$147:$AK$149</formula1>
    </dataValidation>
    <dataValidation type="list" allowBlank="1" showInputMessage="1" showErrorMessage="1" sqref="G50:G51" xr:uid="{2D849FE4-CC18-496A-8D0B-51B8DA5D2CDC}">
      <formula1>$V$53:$V$56</formula1>
    </dataValidation>
    <dataValidation type="list" allowBlank="1" showInputMessage="1" showErrorMessage="1" sqref="D41" xr:uid="{47B4F96C-ED55-42B8-8691-7C68DEBC11A2}">
      <formula1>$AA$40:$AA$42</formula1>
    </dataValidation>
    <dataValidation type="list" allowBlank="1" showInputMessage="1" showErrorMessage="1" sqref="E44" xr:uid="{974D2507-565B-4088-94C3-F02B0DAE90D0}">
      <formula1>$AA$45:$AA$47</formula1>
    </dataValidation>
    <dataValidation type="whole" operator="lessThan" allowBlank="1" showInputMessage="1" showErrorMessage="1" error="Oppgi produsert strøm fra solceller som negativt tall" sqref="E39" xr:uid="{EE393C8E-B368-4E64-A3EF-2C391A6DDC2C}">
      <formula1>1</formula1>
    </dataValidation>
  </dataValidations>
  <pageMargins left="0.7" right="0.7" top="0.75" bottom="0.75" header="0.3" footer="0.3"/>
  <pageSetup paperSize="9" scale="39" fitToHeight="0" orientation="landscape" verticalDpi="0" r:id="rId1"/>
  <rowBreaks count="2" manualBreakCount="2">
    <brk id="75" max="16383" man="1"/>
    <brk id="126"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24" id="{A6D08DCA-D1CF-4C24-B6C0-B75707D1591C}">
            <x14:iconSet custom="1">
              <x14:cfvo type="percent">
                <xm:f>0</xm:f>
              </x14:cfvo>
              <x14:cfvo type="num">
                <xm:f>0.09</xm:f>
              </x14:cfvo>
              <x14:cfvo type="num">
                <xm:f>0.11</xm:f>
              </x14:cfvo>
              <x14:cfIcon iconSet="3TrafficLights1" iconId="1"/>
              <x14:cfIcon iconSet="3TrafficLights1" iconId="2"/>
              <x14:cfIcon iconSet="3TrafficLights1" iconId="0"/>
            </x14:iconSet>
          </x14:cfRule>
          <xm:sqref>H80</xm:sqref>
        </x14:conditionalFormatting>
        <x14:conditionalFormatting xmlns:xm="http://schemas.microsoft.com/office/excel/2006/main">
          <x14:cfRule type="iconSet" priority="19" id="{C0098432-8F42-48BE-BCA0-50DE08B05987}">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H81</xm:sqref>
        </x14:conditionalFormatting>
        <x14:conditionalFormatting xmlns:xm="http://schemas.microsoft.com/office/excel/2006/main">
          <x14:cfRule type="iconSet" priority="20" id="{A6161B87-5160-497C-95A8-321283B9D737}">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8" id="{ED80EBB0-5391-4D17-B27E-DBAAE8733DE0}">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H83</xm:sqref>
        </x14:conditionalFormatting>
        <x14:conditionalFormatting xmlns:xm="http://schemas.microsoft.com/office/excel/2006/main">
          <x14:cfRule type="iconSet" priority="17" id="{8628486D-88D4-4B47-833E-DA7544F9D7ED}">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22" id="{9E5ECAC5-1B93-44CE-9327-C52EEF69379F}">
            <x14:iconSet custom="1">
              <x14:cfvo type="percent">
                <xm:f>0</xm:f>
              </x14:cfvo>
              <x14:cfvo type="num">
                <xm:f>0.9</xm:f>
              </x14:cfvo>
              <x14:cfvo type="num">
                <xm:f>1.1000000000000001</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23" id="{2DEC302A-90C4-48D1-B43A-8C21291A2B44}">
            <x14:iconSet custom="1">
              <x14:cfvo type="percent">
                <xm:f>0</xm:f>
              </x14:cfvo>
              <x14:cfvo type="num">
                <xm:f>0</xm:f>
              </x14:cfvo>
              <x14:cfvo type="num" gte="0">
                <xm:f>0</xm:f>
              </x14:cfvo>
              <x14:cfIcon iconSet="3TrafficLights1" iconId="2"/>
              <x14:cfIcon iconSet="3TrafficLights1" iconId="1"/>
              <x14:cfIcon iconSet="3TrafficLights1" iconId="0"/>
            </x14:iconSet>
          </x14:cfRule>
          <xm:sqref>H87</xm:sqref>
        </x14:conditionalFormatting>
        <x14:conditionalFormatting xmlns:xm="http://schemas.microsoft.com/office/excel/2006/main">
          <x14:cfRule type="iconSet" priority="16" id="{468D8F5E-5187-428B-BAAA-621CA0E419F1}">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H89</xm:sqref>
        </x14:conditionalFormatting>
        <x14:conditionalFormatting xmlns:xm="http://schemas.microsoft.com/office/excel/2006/main">
          <x14:cfRule type="iconSet" priority="15" id="{6EB5E14E-5305-4AE4-9230-2135FFCD1CD5}">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4" id="{13FF38EF-E070-47A6-B0C8-FDF5ADDF6F1D}">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H91</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7C4FF-8587-4C3D-B78B-28D9356CD286}">
  <sheetPr>
    <pageSetUpPr fitToPage="1"/>
  </sheetPr>
  <dimension ref="C1:BP159"/>
  <sheetViews>
    <sheetView showGridLines="0" zoomScaleNormal="100" workbookViewId="0">
      <selection activeCell="D98" sqref="D98:E98"/>
    </sheetView>
  </sheetViews>
  <sheetFormatPr defaultColWidth="9.140625" defaultRowHeight="14.25"/>
  <cols>
    <col min="1" max="1" width="1.7109375" style="2" customWidth="1"/>
    <col min="2" max="2" width="1" style="2" customWidth="1"/>
    <col min="3" max="3" width="64.85546875" style="2" customWidth="1"/>
    <col min="4" max="4" width="35.140625" style="2" customWidth="1"/>
    <col min="5" max="5" width="18.7109375" style="2" customWidth="1"/>
    <col min="6" max="6" width="17.42578125" style="2" customWidth="1"/>
    <col min="7" max="7" width="16.5703125" style="2" bestFit="1" customWidth="1"/>
    <col min="8" max="8" width="15.5703125" style="2" customWidth="1"/>
    <col min="9" max="9" width="15.140625" style="2" bestFit="1" customWidth="1"/>
    <col min="10" max="10" width="6.140625" style="2" customWidth="1"/>
    <col min="11" max="11" width="11.42578125" style="2" customWidth="1"/>
    <col min="12" max="12" width="31.5703125" style="2" customWidth="1"/>
    <col min="13" max="13" width="6.28515625" style="2" bestFit="1" customWidth="1"/>
    <col min="14" max="14" width="6.140625" style="2" bestFit="1" customWidth="1"/>
    <col min="15" max="15" width="27.42578125" style="2" customWidth="1"/>
    <col min="16" max="16" width="17.42578125" style="2" customWidth="1"/>
    <col min="17" max="17" width="13.85546875" style="2" customWidth="1"/>
    <col min="18" max="18" width="14.7109375" style="2" customWidth="1"/>
    <col min="19" max="20" width="9.140625" style="2" customWidth="1"/>
    <col min="21" max="21" width="3.140625" style="2" hidden="1" customWidth="1"/>
    <col min="22" max="22" width="25" style="2" hidden="1" customWidth="1"/>
    <col min="23" max="23" width="9.140625" style="2" hidden="1" customWidth="1"/>
    <col min="24" max="24" width="13" style="2" hidden="1" customWidth="1"/>
    <col min="25" max="25" width="9.140625" style="2" hidden="1" customWidth="1"/>
    <col min="26" max="26" width="14.42578125" style="2" hidden="1" customWidth="1"/>
    <col min="27" max="27" width="22.85546875" style="2" hidden="1" customWidth="1"/>
    <col min="28" max="30" width="9.140625" style="2" hidden="1" customWidth="1"/>
    <col min="31" max="31" width="29.28515625" style="2" hidden="1" customWidth="1"/>
    <col min="32" max="32" width="31.85546875" style="2" hidden="1" customWidth="1"/>
    <col min="33" max="33" width="32.28515625" style="2" hidden="1" customWidth="1"/>
    <col min="34" max="34" width="18.85546875" style="2" hidden="1" customWidth="1"/>
    <col min="35" max="35" width="37.7109375" style="2" hidden="1" customWidth="1"/>
    <col min="36" max="36" width="9.140625" style="2" hidden="1" customWidth="1"/>
    <col min="37" max="37" width="34.7109375" style="2" hidden="1" customWidth="1"/>
    <col min="38" max="38" width="25.140625" style="2" hidden="1" customWidth="1"/>
    <col min="39" max="39" width="23.85546875" style="2" hidden="1" customWidth="1"/>
    <col min="40" max="40" width="35" style="2" hidden="1" customWidth="1"/>
    <col min="41" max="41" width="20.42578125" style="2" hidden="1" customWidth="1"/>
    <col min="42" max="42" width="9.140625" style="2" hidden="1" customWidth="1"/>
    <col min="43" max="43" width="20.85546875" style="2" hidden="1" customWidth="1"/>
    <col min="44" max="44" width="9.140625" style="2" hidden="1" customWidth="1"/>
    <col min="45" max="45" width="14.140625" style="2" hidden="1" customWidth="1"/>
    <col min="46" max="46" width="19.5703125" style="2" hidden="1" customWidth="1"/>
    <col min="47" max="48" width="9.140625" style="2" hidden="1" customWidth="1"/>
    <col min="49" max="49" width="12.5703125" style="2" hidden="1" customWidth="1"/>
    <col min="50" max="50" width="12.140625" style="2" hidden="1" customWidth="1"/>
    <col min="51" max="51" width="19.5703125" style="2" hidden="1" customWidth="1"/>
    <col min="52" max="52" width="12" style="2" hidden="1" customWidth="1"/>
    <col min="53" max="53" width="9.140625" style="2" hidden="1" customWidth="1"/>
    <col min="54" max="54" width="13" style="2" hidden="1" customWidth="1"/>
    <col min="55" max="68" width="9.140625" style="2" hidden="1" customWidth="1"/>
    <col min="69" max="81" width="0" style="2" hidden="1" customWidth="1"/>
    <col min="82" max="16384" width="9.140625" style="2"/>
  </cols>
  <sheetData>
    <row r="1" spans="3:67">
      <c r="V1" s="390" t="s">
        <v>144</v>
      </c>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row>
    <row r="2" spans="3:67" ht="27">
      <c r="C2" s="53" t="str">
        <f>"Alternativ 3: "&amp;D4</f>
        <v xml:space="preserve">Alternativ 3: </v>
      </c>
      <c r="D2" s="1"/>
    </row>
    <row r="3" spans="3:67" ht="15.75" customHeight="1"/>
    <row r="4" spans="3:67" ht="15.75" customHeight="1">
      <c r="C4" s="20" t="s">
        <v>145</v>
      </c>
      <c r="D4" s="130"/>
      <c r="E4" s="19"/>
      <c r="F4" s="19"/>
      <c r="G4" s="19"/>
      <c r="H4" s="19"/>
      <c r="I4" s="19"/>
      <c r="J4" s="19"/>
      <c r="K4" s="19"/>
      <c r="L4" s="19"/>
      <c r="M4" s="19"/>
      <c r="N4" s="19"/>
      <c r="O4" s="19"/>
      <c r="AB4" s="151" t="s">
        <v>55</v>
      </c>
      <c r="AC4" s="151" t="s">
        <v>56</v>
      </c>
    </row>
    <row r="5" spans="3:67" ht="15.75" customHeight="1">
      <c r="C5" s="19"/>
      <c r="D5" s="19"/>
      <c r="E5" s="19"/>
      <c r="F5" s="19"/>
      <c r="G5" s="19"/>
      <c r="H5" s="19"/>
      <c r="I5" s="19"/>
      <c r="J5" s="19"/>
      <c r="K5" s="19"/>
      <c r="L5" s="19"/>
      <c r="M5" s="19"/>
      <c r="N5" s="19"/>
      <c r="O5" s="19"/>
      <c r="AA5" s="20" t="s">
        <v>57</v>
      </c>
      <c r="AB5" s="9">
        <f>SUM(E19:E22)</f>
        <v>0</v>
      </c>
      <c r="AC5" s="9">
        <f>SUM(F19:F22)</f>
        <v>0</v>
      </c>
    </row>
    <row r="6" spans="3:67" ht="15.75" customHeight="1">
      <c r="C6" s="19"/>
      <c r="D6" s="19"/>
      <c r="E6" s="19"/>
      <c r="F6" s="19"/>
      <c r="G6" s="19"/>
      <c r="H6" s="19"/>
      <c r="I6" s="19"/>
      <c r="J6" s="19"/>
      <c r="K6" s="19"/>
      <c r="L6" s="19"/>
      <c r="M6" s="19"/>
      <c r="N6" s="19"/>
      <c r="O6" s="19"/>
      <c r="AA6" s="20" t="s">
        <v>58</v>
      </c>
      <c r="AB6" s="9">
        <f>SUM(G19:G22)</f>
        <v>0</v>
      </c>
      <c r="AC6" s="9">
        <f>SUM(H19:H22)</f>
        <v>0</v>
      </c>
    </row>
    <row r="7" spans="3:67" ht="15.75" customHeight="1">
      <c r="C7" s="382" t="s">
        <v>146</v>
      </c>
      <c r="D7" s="382"/>
      <c r="E7" s="382"/>
      <c r="F7" s="382"/>
      <c r="G7" s="382"/>
      <c r="H7" s="382"/>
      <c r="I7" s="382"/>
      <c r="J7" s="382"/>
      <c r="K7" s="382"/>
      <c r="L7" s="382"/>
      <c r="M7" s="382"/>
      <c r="N7" s="382"/>
      <c r="O7" s="382"/>
      <c r="AA7" s="20" t="s">
        <v>59</v>
      </c>
      <c r="AB7" s="9">
        <f>SUM(I19:I22)</f>
        <v>0</v>
      </c>
      <c r="AC7" s="9">
        <f>SUM(J19:J22)</f>
        <v>0</v>
      </c>
    </row>
    <row r="8" spans="3:67" ht="30" customHeight="1">
      <c r="C8" s="152" t="s">
        <v>147</v>
      </c>
      <c r="D8" s="385"/>
      <c r="E8" s="386"/>
      <c r="F8" s="386"/>
      <c r="G8" s="386"/>
      <c r="H8" s="386"/>
      <c r="I8" s="386"/>
      <c r="J8" s="386"/>
      <c r="K8" s="386"/>
      <c r="L8" s="386"/>
      <c r="M8" s="386"/>
      <c r="N8" s="386"/>
      <c r="O8" s="387"/>
      <c r="Z8" s="2" t="s">
        <v>148</v>
      </c>
      <c r="AA8" s="20" t="s">
        <v>60</v>
      </c>
      <c r="AB8" s="9">
        <f>SUMIF($D$23:$D$24,$Z$8,E23:E24)+SUMIF($D$23:$D$24,$Z$8,G23:G24)</f>
        <v>0</v>
      </c>
      <c r="AC8" s="9">
        <f>SUMIF($D$23:$D$24,$Z$8,F23:F24)+SUMIF($D$23:$D$24,$Z$8,H23:H24)</f>
        <v>0</v>
      </c>
    </row>
    <row r="9" spans="3:67" ht="30" customHeight="1">
      <c r="C9" s="153" t="s">
        <v>149</v>
      </c>
      <c r="D9" s="385"/>
      <c r="E9" s="386"/>
      <c r="F9" s="386"/>
      <c r="G9" s="386"/>
      <c r="H9" s="386"/>
      <c r="I9" s="386"/>
      <c r="J9" s="386"/>
      <c r="K9" s="386"/>
      <c r="L9" s="386"/>
      <c r="M9" s="386"/>
      <c r="N9" s="386"/>
      <c r="O9" s="387"/>
      <c r="Z9" s="2" t="s">
        <v>150</v>
      </c>
      <c r="AA9" s="20" t="s">
        <v>61</v>
      </c>
      <c r="AB9" s="9">
        <f>SUMIF($D$23:$D$24,$Z$9,E23:E24)+SUMIF($D$23:$D$24,$Z$9,G23:G24)</f>
        <v>0</v>
      </c>
      <c r="AC9" s="9">
        <f>SUMIF($D$23:$D$24,$Z$9,F23:F24)+SUMIF($D$23:$D$24,$Z$9,H23:H24)</f>
        <v>0</v>
      </c>
    </row>
    <row r="10" spans="3:67" ht="30" customHeight="1">
      <c r="C10" s="152" t="s">
        <v>151</v>
      </c>
      <c r="D10" s="385"/>
      <c r="E10" s="386"/>
      <c r="F10" s="386"/>
      <c r="G10" s="386"/>
      <c r="H10" s="386"/>
      <c r="I10" s="386"/>
      <c r="J10" s="386"/>
      <c r="K10" s="386"/>
      <c r="L10" s="386"/>
      <c r="M10" s="386"/>
      <c r="N10" s="386"/>
      <c r="O10" s="387"/>
    </row>
    <row r="11" spans="3:67" ht="30" customHeight="1">
      <c r="C11" s="152" t="s">
        <v>152</v>
      </c>
      <c r="D11" s="385"/>
      <c r="E11" s="386"/>
      <c r="F11" s="386"/>
      <c r="G11" s="386"/>
      <c r="H11" s="386"/>
      <c r="I11" s="386"/>
      <c r="J11" s="386"/>
      <c r="K11" s="386"/>
      <c r="L11" s="386"/>
      <c r="M11" s="386"/>
      <c r="N11" s="386"/>
      <c r="O11" s="387"/>
    </row>
    <row r="12" spans="3:67" ht="15.75" customHeight="1">
      <c r="C12" s="19"/>
      <c r="D12" s="19"/>
      <c r="E12" s="19"/>
      <c r="F12" s="19"/>
      <c r="G12" s="19"/>
      <c r="H12" s="19"/>
      <c r="I12" s="19"/>
      <c r="J12" s="19"/>
      <c r="K12" s="19"/>
      <c r="L12" s="19"/>
      <c r="M12" s="19"/>
      <c r="N12" s="19"/>
      <c r="O12" s="19"/>
    </row>
    <row r="13" spans="3:67" ht="15.75" customHeight="1">
      <c r="C13" s="19"/>
      <c r="D13" s="19"/>
      <c r="E13" s="19"/>
      <c r="F13" s="19"/>
      <c r="G13" s="19"/>
      <c r="H13" s="19"/>
      <c r="I13" s="19"/>
      <c r="J13" s="19"/>
      <c r="K13" s="19"/>
      <c r="L13" s="19"/>
      <c r="M13" s="19"/>
      <c r="N13" s="19"/>
      <c r="O13" s="19"/>
    </row>
    <row r="14" spans="3:67" ht="15.75" customHeight="1">
      <c r="C14" s="154" t="s">
        <v>153</v>
      </c>
      <c r="D14" s="155"/>
      <c r="E14" s="19"/>
      <c r="F14" s="19"/>
      <c r="G14" s="19"/>
      <c r="H14" s="19"/>
      <c r="I14" s="19"/>
      <c r="J14" s="19"/>
      <c r="K14" s="19"/>
      <c r="L14" s="19"/>
      <c r="M14" s="19"/>
      <c r="N14" s="19"/>
      <c r="O14" s="19"/>
    </row>
    <row r="15" spans="3:67" ht="15.75" customHeight="1" thickBot="1">
      <c r="C15" s="156" t="s">
        <v>154</v>
      </c>
      <c r="D15" s="157"/>
      <c r="E15" s="19"/>
      <c r="F15" s="19"/>
      <c r="G15" s="19"/>
      <c r="H15" s="19"/>
      <c r="I15" s="19"/>
      <c r="J15" s="19"/>
      <c r="K15" s="19"/>
      <c r="L15" s="19"/>
      <c r="M15" s="19"/>
      <c r="N15" s="19"/>
      <c r="O15" s="19"/>
      <c r="BD15" s="310" t="s">
        <v>156</v>
      </c>
      <c r="BE15" s="310"/>
      <c r="BF15" s="310"/>
      <c r="BG15" s="310"/>
      <c r="BH15" s="310"/>
      <c r="BI15" s="310"/>
      <c r="BJ15" s="310"/>
      <c r="BK15" s="310"/>
      <c r="BL15" s="310"/>
      <c r="BM15" s="310"/>
      <c r="BN15" s="310"/>
      <c r="BO15" s="310"/>
    </row>
    <row r="16" spans="3:67" ht="15" thickBot="1">
      <c r="C16" s="19"/>
      <c r="D16" s="19"/>
      <c r="E16" s="19"/>
      <c r="F16" s="19"/>
      <c r="G16" s="19"/>
      <c r="H16" s="19"/>
      <c r="I16" s="19"/>
      <c r="J16" s="19"/>
      <c r="K16" s="19"/>
      <c r="L16" s="19"/>
      <c r="M16" s="19"/>
      <c r="N16" s="19"/>
      <c r="O16" s="19"/>
      <c r="AE16" s="158" t="s">
        <v>157</v>
      </c>
      <c r="AF16" s="159"/>
      <c r="AG16" s="159"/>
      <c r="AH16" s="159"/>
      <c r="AI16" s="159"/>
      <c r="AJ16" s="159"/>
      <c r="AK16" s="160"/>
      <c r="AN16" s="403" t="s">
        <v>158</v>
      </c>
      <c r="AO16" s="404"/>
      <c r="AP16" s="404"/>
      <c r="AQ16" s="404"/>
      <c r="AR16" s="404"/>
      <c r="AS16" s="404"/>
      <c r="AT16" s="404"/>
      <c r="AU16" s="404"/>
      <c r="AV16" s="404"/>
      <c r="AW16" s="404"/>
      <c r="AX16" s="404"/>
      <c r="AY16" s="404"/>
      <c r="AZ16" s="404"/>
      <c r="BA16" s="404"/>
      <c r="BB16" s="405"/>
      <c r="BD16" s="158" t="s">
        <v>157</v>
      </c>
      <c r="BE16" s="159"/>
      <c r="BF16" s="159"/>
      <c r="BG16" s="159"/>
      <c r="BH16" s="159"/>
      <c r="BI16" s="159"/>
      <c r="BJ16" s="160"/>
      <c r="BK16" s="161"/>
      <c r="BM16" s="162" t="s">
        <v>158</v>
      </c>
      <c r="BN16" s="163"/>
      <c r="BO16" s="163"/>
    </row>
    <row r="17" spans="3:67" ht="30" customHeight="1">
      <c r="C17" s="164" t="s">
        <v>159</v>
      </c>
      <c r="D17" s="165" t="s">
        <v>160</v>
      </c>
      <c r="E17" s="371" t="s">
        <v>161</v>
      </c>
      <c r="F17" s="372"/>
      <c r="G17" s="373" t="s">
        <v>162</v>
      </c>
      <c r="H17" s="374"/>
      <c r="I17" s="375" t="s">
        <v>163</v>
      </c>
      <c r="J17" s="376"/>
      <c r="K17" s="383" t="s">
        <v>164</v>
      </c>
      <c r="L17" s="377" t="s">
        <v>165</v>
      </c>
      <c r="M17" s="377"/>
      <c r="N17" s="377"/>
      <c r="O17" s="166" t="s">
        <v>93</v>
      </c>
      <c r="V17" s="158" t="s">
        <v>165</v>
      </c>
      <c r="W17" s="159"/>
      <c r="X17" s="160"/>
      <c r="AG17" s="378" t="s">
        <v>166</v>
      </c>
      <c r="AH17" s="378"/>
      <c r="AI17" s="378"/>
      <c r="AJ17" s="378"/>
      <c r="AK17" s="378"/>
      <c r="AN17" s="379" t="s">
        <v>167</v>
      </c>
      <c r="AO17" s="380"/>
      <c r="AP17" s="380"/>
      <c r="AQ17" s="380"/>
      <c r="AR17" s="381"/>
      <c r="AS17" s="397" t="s">
        <v>168</v>
      </c>
      <c r="AT17" s="398"/>
      <c r="AU17" s="398"/>
      <c r="AV17" s="398"/>
      <c r="AW17" s="399"/>
      <c r="AX17" s="400" t="s">
        <v>163</v>
      </c>
      <c r="AY17" s="401"/>
      <c r="AZ17" s="401"/>
      <c r="BA17" s="401"/>
      <c r="BB17" s="402"/>
      <c r="BF17" s="389" t="s">
        <v>166</v>
      </c>
      <c r="BG17" s="389"/>
      <c r="BH17" s="389"/>
      <c r="BI17" s="389"/>
      <c r="BJ17" s="389"/>
      <c r="BK17" s="17"/>
      <c r="BM17" s="2" t="s">
        <v>167</v>
      </c>
      <c r="BN17" s="2" t="s">
        <v>169</v>
      </c>
      <c r="BO17" s="2" t="s">
        <v>170</v>
      </c>
    </row>
    <row r="18" spans="3:67" ht="15" customHeight="1" thickBot="1">
      <c r="C18" s="167"/>
      <c r="D18" s="168"/>
      <c r="E18" s="169" t="s">
        <v>55</v>
      </c>
      <c r="F18" s="51" t="s">
        <v>56</v>
      </c>
      <c r="G18" s="51" t="s">
        <v>55</v>
      </c>
      <c r="H18" s="51" t="s">
        <v>56</v>
      </c>
      <c r="I18" s="51" t="s">
        <v>55</v>
      </c>
      <c r="J18" s="51" t="s">
        <v>56</v>
      </c>
      <c r="K18" s="384"/>
      <c r="L18" s="168" t="s">
        <v>4</v>
      </c>
      <c r="M18" s="168" t="s">
        <v>171</v>
      </c>
      <c r="N18" s="170" t="s">
        <v>172</v>
      </c>
      <c r="O18" s="171"/>
      <c r="V18" s="9" t="s">
        <v>173</v>
      </c>
      <c r="W18" s="9"/>
      <c r="X18" s="9" t="s">
        <v>174</v>
      </c>
      <c r="AG18" s="65" t="s">
        <v>176</v>
      </c>
      <c r="AH18" s="65" t="s">
        <v>177</v>
      </c>
      <c r="AI18" s="65" t="s">
        <v>178</v>
      </c>
      <c r="AJ18" s="65" t="s">
        <v>179</v>
      </c>
      <c r="AK18" s="65" t="s">
        <v>180</v>
      </c>
      <c r="AN18" s="172" t="s">
        <v>176</v>
      </c>
      <c r="AO18" s="173" t="s">
        <v>177</v>
      </c>
      <c r="AP18" s="173" t="s">
        <v>178</v>
      </c>
      <c r="AQ18" s="173" t="s">
        <v>179</v>
      </c>
      <c r="AR18" s="174" t="s">
        <v>180</v>
      </c>
      <c r="AS18" s="172" t="s">
        <v>176</v>
      </c>
      <c r="AT18" s="173" t="s">
        <v>177</v>
      </c>
      <c r="AU18" s="173" t="s">
        <v>178</v>
      </c>
      <c r="AV18" s="173" t="s">
        <v>179</v>
      </c>
      <c r="AW18" s="174" t="s">
        <v>180</v>
      </c>
      <c r="AX18" s="175" t="s">
        <v>176</v>
      </c>
      <c r="AY18" s="173" t="s">
        <v>177</v>
      </c>
      <c r="AZ18" s="173" t="s">
        <v>178</v>
      </c>
      <c r="BA18" s="173" t="s">
        <v>179</v>
      </c>
      <c r="BB18" s="174" t="s">
        <v>180</v>
      </c>
      <c r="BF18" s="65" t="s">
        <v>176</v>
      </c>
      <c r="BG18" s="65" t="s">
        <v>177</v>
      </c>
      <c r="BH18" s="65" t="s">
        <v>178</v>
      </c>
      <c r="BI18" s="65" t="s">
        <v>179</v>
      </c>
      <c r="BJ18" s="65" t="s">
        <v>180</v>
      </c>
      <c r="BK18" s="176"/>
      <c r="BM18" s="2" t="s">
        <v>181</v>
      </c>
      <c r="BN18" s="2" t="s">
        <v>181</v>
      </c>
      <c r="BO18" s="2" t="s">
        <v>181</v>
      </c>
    </row>
    <row r="19" spans="3:67">
      <c r="C19" s="177" t="s">
        <v>182</v>
      </c>
      <c r="D19" s="141" t="s">
        <v>188</v>
      </c>
      <c r="E19" s="138"/>
      <c r="F19" s="138"/>
      <c r="G19" s="138"/>
      <c r="H19" s="138"/>
      <c r="I19" s="138"/>
      <c r="J19" s="138"/>
      <c r="K19" s="138"/>
      <c r="L19" s="20" t="str">
        <f t="shared" ref="L19:L24" si="0">IF(VLOOKUP(D19,$AK$133:$AO$151,AN$131,FALSE)=0,"",VLOOKUP(D19,$AK$133:$AO$151,AN$131,FALSE))</f>
        <v/>
      </c>
      <c r="M19" s="138"/>
      <c r="N19" s="178" t="str">
        <f t="shared" ref="N19:N24" si="1">IF(VLOOKUP(D19,$AK$133:$AO$151,AO$131,FALSE)=0,"",VLOOKUP(D19,$AK$133:$AO$151,AO$131,FALSE))</f>
        <v/>
      </c>
      <c r="O19" s="139"/>
      <c r="V19" s="9">
        <f t="shared" ref="V19:V27" si="2">IF(OR(D19=$AK$143,D19=$AK$144),1,0)</f>
        <v>0</v>
      </c>
      <c r="W19" s="9">
        <f t="shared" ref="W19:W27" si="3">IF(D19=$AK$133,0,1)</f>
        <v>0</v>
      </c>
      <c r="X19" s="9">
        <f t="shared" ref="X19:X27" si="4">IF(AND(N19&lt;&gt;"",N19&lt;&gt;$AS$137),1,0)</f>
        <v>0</v>
      </c>
      <c r="AE19" s="9" t="str">
        <f t="shared" ref="AE19:AE24" si="5">VLOOKUP(D19,$AK$133:$AX$151,$AW$131,FALSE)</f>
        <v>tom</v>
      </c>
      <c r="AF19" s="9" t="str">
        <f t="shared" ref="AF19:AF24" si="6">IF(OR(D19=$AK$143,D19=$AK$144),AE19&amp;", "&amp;K19,AE19)</f>
        <v>tom</v>
      </c>
      <c r="AG19" s="66">
        <f>VLOOKUP($AF19,Utslippsdata!$B$20:$H$46,Utslippsdata!C$16,FALSE)</f>
        <v>0</v>
      </c>
      <c r="AH19" s="66">
        <f>VLOOKUP($AF19,Utslippsdata!$B$20:$H$46,Utslippsdata!D$16,FALSE)</f>
        <v>0</v>
      </c>
      <c r="AI19" s="66">
        <f>VLOOKUP($AF19,Utslippsdata!$B$20:$H$46,Utslippsdata!E$16,FALSE)</f>
        <v>0</v>
      </c>
      <c r="AJ19" s="66">
        <f>VLOOKUP($AF19,Utslippsdata!$B$20:$H$46,Utslippsdata!F$16,FALSE)</f>
        <v>0</v>
      </c>
      <c r="AK19" s="66">
        <f>VLOOKUP($AF19,Utslippsdata!$B$20:$H$46,Utslippsdata!G$16,FALSE)</f>
        <v>0</v>
      </c>
      <c r="AM19" s="179" t="str">
        <f t="shared" ref="AM19:AM24" si="7">AE19</f>
        <v>tom</v>
      </c>
      <c r="AN19" s="180">
        <f t="shared" ref="AN19:AR24" si="8">$F19*AG19</f>
        <v>0</v>
      </c>
      <c r="AO19" s="180">
        <f t="shared" si="8"/>
        <v>0</v>
      </c>
      <c r="AP19" s="180">
        <f t="shared" si="8"/>
        <v>0</v>
      </c>
      <c r="AQ19" s="180">
        <f t="shared" si="8"/>
        <v>0</v>
      </c>
      <c r="AR19" s="181">
        <f t="shared" si="8"/>
        <v>0</v>
      </c>
      <c r="AS19" s="182">
        <f t="shared" ref="AS19:AW24" si="9">$H19*AG19</f>
        <v>0</v>
      </c>
      <c r="AT19" s="183">
        <f t="shared" si="9"/>
        <v>0</v>
      </c>
      <c r="AU19" s="183">
        <f t="shared" si="9"/>
        <v>0</v>
      </c>
      <c r="AV19" s="183">
        <f t="shared" si="9"/>
        <v>0</v>
      </c>
      <c r="AW19" s="184">
        <f t="shared" si="9"/>
        <v>0</v>
      </c>
      <c r="AX19" s="180">
        <f t="shared" ref="AX19:BB24" si="10">$J19*AG19</f>
        <v>0</v>
      </c>
      <c r="AY19" s="180">
        <f t="shared" si="10"/>
        <v>0</v>
      </c>
      <c r="AZ19" s="180">
        <f t="shared" si="10"/>
        <v>0</v>
      </c>
      <c r="BA19" s="180">
        <f t="shared" si="10"/>
        <v>0</v>
      </c>
      <c r="BB19" s="180">
        <f t="shared" si="10"/>
        <v>0</v>
      </c>
      <c r="BD19" s="9" t="str">
        <f>VLOOKUP(D19,$AK$133:$AX$151,$AW$131,FALSE)</f>
        <v>tom</v>
      </c>
      <c r="BE19" s="9" t="str">
        <f t="shared" ref="BE19:BE24" si="11">IF(OR(AC19=$AK$143,AC19=$AK$144),BD19&amp;", "&amp;AJ19,BD19)</f>
        <v>tom</v>
      </c>
      <c r="BF19" s="66">
        <f>VLOOKUP($AF19,Utslippsdata!$BJ$20:$BP$46,Utslippsdata!C$16,FALSE)</f>
        <v>0</v>
      </c>
      <c r="BG19" s="66">
        <f>VLOOKUP($AF19,Utslippsdata!$BJ$20:$BP$46,Utslippsdata!D$16,FALSE)</f>
        <v>0</v>
      </c>
      <c r="BH19" s="66">
        <f>VLOOKUP($AF19,Utslippsdata!$BJ$20:$BP$46,Utslippsdata!E$16,FALSE)</f>
        <v>0</v>
      </c>
      <c r="BI19" s="66">
        <f>VLOOKUP($AF19,Utslippsdata!$BJ$20:$BP$46,Utslippsdata!F$16,FALSE)</f>
        <v>0</v>
      </c>
      <c r="BJ19" s="66">
        <f>VLOOKUP($AF19,Utslippsdata!$BJ$20:$BP$46,Utslippsdata!G$16,FALSE)</f>
        <v>0</v>
      </c>
      <c r="BK19" s="133"/>
      <c r="BL19" s="2" t="str">
        <f>AM19</f>
        <v>tom</v>
      </c>
      <c r="BM19" s="2">
        <f>$F19*(BF19+BG19+BI19)</f>
        <v>0</v>
      </c>
      <c r="BN19" s="2">
        <f>$H19*(BF19+BG19+BI19)</f>
        <v>0</v>
      </c>
      <c r="BO19" s="2">
        <f>BN19+BM19</f>
        <v>0</v>
      </c>
    </row>
    <row r="20" spans="3:67">
      <c r="C20" s="20" t="s">
        <v>184</v>
      </c>
      <c r="D20" s="130" t="s">
        <v>188</v>
      </c>
      <c r="E20" s="138"/>
      <c r="F20" s="138"/>
      <c r="G20" s="138"/>
      <c r="H20" s="138"/>
      <c r="I20" s="138"/>
      <c r="J20" s="138"/>
      <c r="K20" s="138"/>
      <c r="L20" s="20" t="str">
        <f t="shared" si="0"/>
        <v/>
      </c>
      <c r="M20" s="138"/>
      <c r="N20" s="178" t="str">
        <f t="shared" si="1"/>
        <v/>
      </c>
      <c r="O20" s="139"/>
      <c r="V20" s="9">
        <f t="shared" si="2"/>
        <v>0</v>
      </c>
      <c r="W20" s="9">
        <f t="shared" si="3"/>
        <v>0</v>
      </c>
      <c r="X20" s="9">
        <f t="shared" si="4"/>
        <v>0</v>
      </c>
      <c r="AE20" s="9" t="str">
        <f t="shared" si="5"/>
        <v>tom</v>
      </c>
      <c r="AF20" s="9" t="str">
        <f t="shared" si="6"/>
        <v>tom</v>
      </c>
      <c r="AG20" s="66">
        <f>VLOOKUP($AF20,Utslippsdata!$B$20:$H$46,Utslippsdata!C$16,FALSE)</f>
        <v>0</v>
      </c>
      <c r="AH20" s="66">
        <f>VLOOKUP($AF20,Utslippsdata!$B$20:$H$46,Utslippsdata!D$16,FALSE)</f>
        <v>0</v>
      </c>
      <c r="AI20" s="66">
        <f>VLOOKUP($AF20,Utslippsdata!$B$20:$H$46,Utslippsdata!E$16,FALSE)</f>
        <v>0</v>
      </c>
      <c r="AJ20" s="66">
        <f>VLOOKUP($AF20,Utslippsdata!$B$20:$H$46,Utslippsdata!F$16,FALSE)</f>
        <v>0</v>
      </c>
      <c r="AK20" s="66">
        <f>VLOOKUP($AF20,Utslippsdata!$B$20:$H$46,Utslippsdata!G$16,FALSE)</f>
        <v>0</v>
      </c>
      <c r="AM20" s="185" t="str">
        <f t="shared" si="7"/>
        <v>tom</v>
      </c>
      <c r="AN20" s="180">
        <f t="shared" si="8"/>
        <v>0</v>
      </c>
      <c r="AO20" s="180">
        <f t="shared" si="8"/>
        <v>0</v>
      </c>
      <c r="AP20" s="180">
        <f t="shared" si="8"/>
        <v>0</v>
      </c>
      <c r="AQ20" s="180">
        <f t="shared" si="8"/>
        <v>0</v>
      </c>
      <c r="AR20" s="181">
        <f t="shared" si="8"/>
        <v>0</v>
      </c>
      <c r="AS20" s="186">
        <f t="shared" si="9"/>
        <v>0</v>
      </c>
      <c r="AT20" s="180">
        <f t="shared" si="9"/>
        <v>0</v>
      </c>
      <c r="AU20" s="180">
        <f t="shared" si="9"/>
        <v>0</v>
      </c>
      <c r="AV20" s="180">
        <f t="shared" si="9"/>
        <v>0</v>
      </c>
      <c r="AW20" s="187">
        <f t="shared" si="9"/>
        <v>0</v>
      </c>
      <c r="AX20" s="180">
        <f t="shared" si="10"/>
        <v>0</v>
      </c>
      <c r="AY20" s="180">
        <f t="shared" si="10"/>
        <v>0</v>
      </c>
      <c r="AZ20" s="180">
        <f t="shared" si="10"/>
        <v>0</v>
      </c>
      <c r="BA20" s="180">
        <f t="shared" si="10"/>
        <v>0</v>
      </c>
      <c r="BB20" s="180">
        <f t="shared" si="10"/>
        <v>0</v>
      </c>
      <c r="BD20" s="9" t="str">
        <f t="shared" ref="BD20:BD24" si="12">VLOOKUP(D20,$AK$133:$AX$151,$AW$131,FALSE)</f>
        <v>tom</v>
      </c>
      <c r="BE20" s="9" t="str">
        <f t="shared" si="11"/>
        <v>tom</v>
      </c>
      <c r="BF20" s="66">
        <f>VLOOKUP($AF20,Utslippsdata!$BJ$20:$BP$46,Utslippsdata!C$16,FALSE)</f>
        <v>0</v>
      </c>
      <c r="BG20" s="66">
        <f>VLOOKUP($AF20,Utslippsdata!$BJ$20:$BP$46,Utslippsdata!D$16,FALSE)</f>
        <v>0</v>
      </c>
      <c r="BH20" s="66">
        <f>VLOOKUP($AF20,Utslippsdata!$BJ$20:$BP$46,Utslippsdata!E$16,FALSE)</f>
        <v>0</v>
      </c>
      <c r="BI20" s="66">
        <f>VLOOKUP($AF20,Utslippsdata!$BJ$20:$BP$46,Utslippsdata!F$16,FALSE)</f>
        <v>0</v>
      </c>
      <c r="BJ20" s="66">
        <f>VLOOKUP($AF20,Utslippsdata!$BJ$20:$BP$46,Utslippsdata!G$16,FALSE)</f>
        <v>0</v>
      </c>
      <c r="BK20" s="133"/>
      <c r="BL20" s="2" t="str">
        <f t="shared" ref="BL20:BL24" si="13">AM20</f>
        <v>tom</v>
      </c>
      <c r="BM20" s="2">
        <f>$F20*(BF20+BG20+BI20)</f>
        <v>0</v>
      </c>
      <c r="BN20" s="2">
        <f>$H20*(BF20+BG20+BI20)</f>
        <v>0</v>
      </c>
      <c r="BO20" s="2">
        <f>BN20+BM20</f>
        <v>0</v>
      </c>
    </row>
    <row r="21" spans="3:67">
      <c r="C21" s="20" t="s">
        <v>186</v>
      </c>
      <c r="D21" s="130" t="s">
        <v>188</v>
      </c>
      <c r="E21" s="138"/>
      <c r="F21" s="138"/>
      <c r="G21" s="138"/>
      <c r="H21" s="138"/>
      <c r="I21" s="138"/>
      <c r="J21" s="138"/>
      <c r="K21" s="138"/>
      <c r="L21" s="20" t="str">
        <f t="shared" si="0"/>
        <v/>
      </c>
      <c r="M21" s="138"/>
      <c r="N21" s="178" t="str">
        <f t="shared" si="1"/>
        <v/>
      </c>
      <c r="O21" s="139"/>
      <c r="V21" s="9">
        <f t="shared" si="2"/>
        <v>0</v>
      </c>
      <c r="W21" s="9">
        <f t="shared" si="3"/>
        <v>0</v>
      </c>
      <c r="X21" s="9">
        <f t="shared" si="4"/>
        <v>0</v>
      </c>
      <c r="AE21" s="9" t="str">
        <f t="shared" si="5"/>
        <v>tom</v>
      </c>
      <c r="AF21" s="9" t="str">
        <f t="shared" si="6"/>
        <v>tom</v>
      </c>
      <c r="AG21" s="66">
        <f>VLOOKUP($AF21,Utslippsdata!$B$20:$H$46,Utslippsdata!C$16,FALSE)</f>
        <v>0</v>
      </c>
      <c r="AH21" s="66">
        <f>VLOOKUP($AF21,Utslippsdata!$B$20:$H$46,Utslippsdata!D$16,FALSE)</f>
        <v>0</v>
      </c>
      <c r="AI21" s="66">
        <f>VLOOKUP($AF21,Utslippsdata!$B$20:$H$46,Utslippsdata!E$16,FALSE)</f>
        <v>0</v>
      </c>
      <c r="AJ21" s="66">
        <f>VLOOKUP($AF21,Utslippsdata!$B$20:$H$46,Utslippsdata!F$16,FALSE)</f>
        <v>0</v>
      </c>
      <c r="AK21" s="66">
        <f>VLOOKUP($AF21,Utslippsdata!$B$20:$H$46,Utslippsdata!G$16,FALSE)</f>
        <v>0</v>
      </c>
      <c r="AM21" s="185" t="str">
        <f t="shared" si="7"/>
        <v>tom</v>
      </c>
      <c r="AN21" s="180">
        <f t="shared" si="8"/>
        <v>0</v>
      </c>
      <c r="AO21" s="180">
        <f t="shared" si="8"/>
        <v>0</v>
      </c>
      <c r="AP21" s="180">
        <f t="shared" si="8"/>
        <v>0</v>
      </c>
      <c r="AQ21" s="180">
        <f t="shared" si="8"/>
        <v>0</v>
      </c>
      <c r="AR21" s="181">
        <f t="shared" si="8"/>
        <v>0</v>
      </c>
      <c r="AS21" s="186">
        <f t="shared" si="9"/>
        <v>0</v>
      </c>
      <c r="AT21" s="180">
        <f t="shared" si="9"/>
        <v>0</v>
      </c>
      <c r="AU21" s="180">
        <f t="shared" si="9"/>
        <v>0</v>
      </c>
      <c r="AV21" s="180">
        <f t="shared" si="9"/>
        <v>0</v>
      </c>
      <c r="AW21" s="187">
        <f t="shared" si="9"/>
        <v>0</v>
      </c>
      <c r="AX21" s="180">
        <f t="shared" si="10"/>
        <v>0</v>
      </c>
      <c r="AY21" s="180">
        <f t="shared" si="10"/>
        <v>0</v>
      </c>
      <c r="AZ21" s="180">
        <f t="shared" si="10"/>
        <v>0</v>
      </c>
      <c r="BA21" s="180">
        <f t="shared" si="10"/>
        <v>0</v>
      </c>
      <c r="BB21" s="180">
        <f t="shared" si="10"/>
        <v>0</v>
      </c>
      <c r="BD21" s="9" t="str">
        <f t="shared" si="12"/>
        <v>tom</v>
      </c>
      <c r="BE21" s="9" t="str">
        <f t="shared" si="11"/>
        <v>tom</v>
      </c>
      <c r="BF21" s="66">
        <f>VLOOKUP($AF21,Utslippsdata!$BJ$20:$BP$46,Utslippsdata!C$16,FALSE)</f>
        <v>0</v>
      </c>
      <c r="BG21" s="66">
        <f>VLOOKUP($AF21,Utslippsdata!$BJ$20:$BP$46,Utslippsdata!D$16,FALSE)</f>
        <v>0</v>
      </c>
      <c r="BH21" s="66">
        <f>VLOOKUP($AF21,Utslippsdata!$BJ$20:$BP$46,Utslippsdata!E$16,FALSE)</f>
        <v>0</v>
      </c>
      <c r="BI21" s="66">
        <f>VLOOKUP($AF21,Utslippsdata!$BJ$20:$BP$46,Utslippsdata!F$16,FALSE)</f>
        <v>0</v>
      </c>
      <c r="BJ21" s="66">
        <f>VLOOKUP($AF21,Utslippsdata!$BJ$20:$BP$46,Utslippsdata!G$16,FALSE)</f>
        <v>0</v>
      </c>
      <c r="BK21" s="133"/>
      <c r="BL21" s="2" t="str">
        <f t="shared" si="13"/>
        <v>tom</v>
      </c>
      <c r="BM21" s="2">
        <f t="shared" ref="BM21:BM24" si="14">$F21*(BF21+BG21+BI21)</f>
        <v>0</v>
      </c>
      <c r="BN21" s="2">
        <f t="shared" ref="BN21:BN24" si="15">$H21*(BF21+BG21+BI21)</f>
        <v>0</v>
      </c>
      <c r="BO21" s="2">
        <f t="shared" ref="BO21:BO24" si="16">BN21+BM21</f>
        <v>0</v>
      </c>
    </row>
    <row r="22" spans="3:67">
      <c r="C22" s="20" t="s">
        <v>187</v>
      </c>
      <c r="D22" s="130" t="s">
        <v>188</v>
      </c>
      <c r="E22" s="138"/>
      <c r="F22" s="138"/>
      <c r="G22" s="138"/>
      <c r="H22" s="138"/>
      <c r="I22" s="138"/>
      <c r="J22" s="138"/>
      <c r="K22" s="138"/>
      <c r="L22" s="20" t="str">
        <f t="shared" si="0"/>
        <v/>
      </c>
      <c r="M22" s="138"/>
      <c r="N22" s="178" t="str">
        <f t="shared" si="1"/>
        <v/>
      </c>
      <c r="O22" s="139"/>
      <c r="V22" s="9">
        <f t="shared" si="2"/>
        <v>0</v>
      </c>
      <c r="W22" s="9">
        <f t="shared" si="3"/>
        <v>0</v>
      </c>
      <c r="X22" s="9">
        <f t="shared" si="4"/>
        <v>0</v>
      </c>
      <c r="AE22" s="9" t="str">
        <f t="shared" si="5"/>
        <v>tom</v>
      </c>
      <c r="AF22" s="9" t="str">
        <f t="shared" si="6"/>
        <v>tom</v>
      </c>
      <c r="AG22" s="66">
        <f>VLOOKUP($AF22,Utslippsdata!$B$20:$H$46,Utslippsdata!C$16,FALSE)</f>
        <v>0</v>
      </c>
      <c r="AH22" s="66">
        <f>VLOOKUP($AF22,Utslippsdata!$B$20:$H$46,Utslippsdata!D$16,FALSE)</f>
        <v>0</v>
      </c>
      <c r="AI22" s="66">
        <f>VLOOKUP($AF22,Utslippsdata!$B$20:$H$46,Utslippsdata!E$16,FALSE)</f>
        <v>0</v>
      </c>
      <c r="AJ22" s="66">
        <f>VLOOKUP($AF22,Utslippsdata!$B$20:$H$46,Utslippsdata!F$16,FALSE)</f>
        <v>0</v>
      </c>
      <c r="AK22" s="66">
        <f>VLOOKUP($AF22,Utslippsdata!$B$20:$H$46,Utslippsdata!G$16,FALSE)</f>
        <v>0</v>
      </c>
      <c r="AM22" s="185" t="str">
        <f t="shared" si="7"/>
        <v>tom</v>
      </c>
      <c r="AN22" s="180">
        <f t="shared" si="8"/>
        <v>0</v>
      </c>
      <c r="AO22" s="180">
        <f t="shared" si="8"/>
        <v>0</v>
      </c>
      <c r="AP22" s="180">
        <f t="shared" si="8"/>
        <v>0</v>
      </c>
      <c r="AQ22" s="180">
        <f t="shared" si="8"/>
        <v>0</v>
      </c>
      <c r="AR22" s="181">
        <f t="shared" si="8"/>
        <v>0</v>
      </c>
      <c r="AS22" s="186">
        <f t="shared" si="9"/>
        <v>0</v>
      </c>
      <c r="AT22" s="180">
        <f t="shared" si="9"/>
        <v>0</v>
      </c>
      <c r="AU22" s="180">
        <f t="shared" si="9"/>
        <v>0</v>
      </c>
      <c r="AV22" s="180">
        <f t="shared" si="9"/>
        <v>0</v>
      </c>
      <c r="AW22" s="187">
        <f t="shared" si="9"/>
        <v>0</v>
      </c>
      <c r="AX22" s="180">
        <f t="shared" si="10"/>
        <v>0</v>
      </c>
      <c r="AY22" s="180">
        <f t="shared" si="10"/>
        <v>0</v>
      </c>
      <c r="AZ22" s="180">
        <f t="shared" si="10"/>
        <v>0</v>
      </c>
      <c r="BA22" s="180">
        <f t="shared" si="10"/>
        <v>0</v>
      </c>
      <c r="BB22" s="180">
        <f t="shared" si="10"/>
        <v>0</v>
      </c>
      <c r="BD22" s="9" t="str">
        <f t="shared" si="12"/>
        <v>tom</v>
      </c>
      <c r="BE22" s="9" t="str">
        <f t="shared" si="11"/>
        <v>tom</v>
      </c>
      <c r="BF22" s="66">
        <f>VLOOKUP($AF22,Utslippsdata!$BJ$20:$BP$46,Utslippsdata!C$16,FALSE)</f>
        <v>0</v>
      </c>
      <c r="BG22" s="66">
        <f>VLOOKUP($AF22,Utslippsdata!$BJ$20:$BP$46,Utslippsdata!D$16,FALSE)</f>
        <v>0</v>
      </c>
      <c r="BH22" s="66">
        <f>VLOOKUP($AF22,Utslippsdata!$BJ$20:$BP$46,Utslippsdata!E$16,FALSE)</f>
        <v>0</v>
      </c>
      <c r="BI22" s="66">
        <f>VLOOKUP($AF22,Utslippsdata!$BJ$20:$BP$46,Utslippsdata!F$16,FALSE)</f>
        <v>0</v>
      </c>
      <c r="BJ22" s="66">
        <f>VLOOKUP($AF22,Utslippsdata!$BJ$20:$BP$46,Utslippsdata!G$16,FALSE)</f>
        <v>0</v>
      </c>
      <c r="BK22" s="133"/>
      <c r="BL22" s="2" t="str">
        <f t="shared" si="13"/>
        <v>tom</v>
      </c>
      <c r="BM22" s="2">
        <f t="shared" si="14"/>
        <v>0</v>
      </c>
      <c r="BN22" s="2">
        <f t="shared" si="15"/>
        <v>0</v>
      </c>
      <c r="BO22" s="2">
        <f t="shared" si="16"/>
        <v>0</v>
      </c>
    </row>
    <row r="23" spans="3:67">
      <c r="C23" s="20" t="s">
        <v>189</v>
      </c>
      <c r="D23" s="130" t="s">
        <v>188</v>
      </c>
      <c r="E23" s="138"/>
      <c r="F23" s="138"/>
      <c r="G23" s="138"/>
      <c r="H23" s="138"/>
      <c r="I23" s="138"/>
      <c r="J23" s="138"/>
      <c r="K23" s="138"/>
      <c r="L23" s="20" t="str">
        <f t="shared" si="0"/>
        <v/>
      </c>
      <c r="M23" s="138"/>
      <c r="N23" s="178" t="str">
        <f t="shared" si="1"/>
        <v/>
      </c>
      <c r="O23" s="139"/>
      <c r="V23" s="9">
        <f t="shared" si="2"/>
        <v>0</v>
      </c>
      <c r="W23" s="9">
        <f t="shared" si="3"/>
        <v>0</v>
      </c>
      <c r="X23" s="9">
        <f t="shared" si="4"/>
        <v>0</v>
      </c>
      <c r="AE23" s="9" t="str">
        <f t="shared" si="5"/>
        <v>tom</v>
      </c>
      <c r="AF23" s="9" t="str">
        <f t="shared" si="6"/>
        <v>tom</v>
      </c>
      <c r="AG23" s="66">
        <f>VLOOKUP($AF23,Utslippsdata!$B$20:$H$46,Utslippsdata!C$16,FALSE)</f>
        <v>0</v>
      </c>
      <c r="AH23" s="66">
        <f>VLOOKUP($AF23,Utslippsdata!$B$20:$H$46,Utslippsdata!D$16,FALSE)</f>
        <v>0</v>
      </c>
      <c r="AI23" s="66">
        <f>VLOOKUP($AF23,Utslippsdata!$B$20:$H$46,Utslippsdata!E$16,FALSE)</f>
        <v>0</v>
      </c>
      <c r="AJ23" s="66">
        <f>VLOOKUP($AF23,Utslippsdata!$B$20:$H$46,Utslippsdata!F$16,FALSE)</f>
        <v>0</v>
      </c>
      <c r="AK23" s="66">
        <f>VLOOKUP($AF23,Utslippsdata!$B$20:$H$46,Utslippsdata!G$16,FALSE)</f>
        <v>0</v>
      </c>
      <c r="AM23" s="185" t="str">
        <f t="shared" si="7"/>
        <v>tom</v>
      </c>
      <c r="AN23" s="180">
        <f t="shared" si="8"/>
        <v>0</v>
      </c>
      <c r="AO23" s="180">
        <f t="shared" si="8"/>
        <v>0</v>
      </c>
      <c r="AP23" s="180">
        <f t="shared" si="8"/>
        <v>0</v>
      </c>
      <c r="AQ23" s="180">
        <f t="shared" si="8"/>
        <v>0</v>
      </c>
      <c r="AR23" s="181">
        <f t="shared" si="8"/>
        <v>0</v>
      </c>
      <c r="AS23" s="186">
        <f t="shared" si="9"/>
        <v>0</v>
      </c>
      <c r="AT23" s="180">
        <f t="shared" si="9"/>
        <v>0</v>
      </c>
      <c r="AU23" s="180">
        <f t="shared" si="9"/>
        <v>0</v>
      </c>
      <c r="AV23" s="180">
        <f t="shared" si="9"/>
        <v>0</v>
      </c>
      <c r="AW23" s="187">
        <f t="shared" si="9"/>
        <v>0</v>
      </c>
      <c r="AX23" s="180">
        <f t="shared" si="10"/>
        <v>0</v>
      </c>
      <c r="AY23" s="180">
        <f t="shared" si="10"/>
        <v>0</v>
      </c>
      <c r="AZ23" s="180">
        <f t="shared" si="10"/>
        <v>0</v>
      </c>
      <c r="BA23" s="180">
        <f t="shared" si="10"/>
        <v>0</v>
      </c>
      <c r="BB23" s="180">
        <f t="shared" si="10"/>
        <v>0</v>
      </c>
      <c r="BD23" s="9" t="str">
        <f t="shared" si="12"/>
        <v>tom</v>
      </c>
      <c r="BE23" s="9" t="str">
        <f t="shared" si="11"/>
        <v>tom</v>
      </c>
      <c r="BF23" s="66">
        <f>VLOOKUP($AF23,Utslippsdata!$BJ$20:$BP$46,Utslippsdata!C$16,FALSE)</f>
        <v>0</v>
      </c>
      <c r="BG23" s="66">
        <f>VLOOKUP($AF23,Utslippsdata!$BJ$20:$BP$46,Utslippsdata!D$16,FALSE)</f>
        <v>0</v>
      </c>
      <c r="BH23" s="66">
        <f>VLOOKUP($AF23,Utslippsdata!$BJ$20:$BP$46,Utslippsdata!E$16,FALSE)</f>
        <v>0</v>
      </c>
      <c r="BI23" s="66">
        <f>VLOOKUP($AF23,Utslippsdata!$BJ$20:$BP$46,Utslippsdata!F$16,FALSE)</f>
        <v>0</v>
      </c>
      <c r="BJ23" s="66">
        <f>VLOOKUP($AF23,Utslippsdata!$BJ$20:$BP$46,Utslippsdata!G$16,FALSE)</f>
        <v>0</v>
      </c>
      <c r="BK23" s="133"/>
      <c r="BL23" s="2" t="str">
        <f t="shared" si="13"/>
        <v>tom</v>
      </c>
      <c r="BM23" s="2">
        <f t="shared" si="14"/>
        <v>0</v>
      </c>
      <c r="BN23" s="2">
        <f t="shared" si="15"/>
        <v>0</v>
      </c>
      <c r="BO23" s="2">
        <f t="shared" si="16"/>
        <v>0</v>
      </c>
    </row>
    <row r="24" spans="3:67">
      <c r="C24" s="20" t="s">
        <v>190</v>
      </c>
      <c r="D24" s="130" t="s">
        <v>188</v>
      </c>
      <c r="E24" s="138"/>
      <c r="F24" s="138"/>
      <c r="G24" s="138"/>
      <c r="H24" s="138"/>
      <c r="I24" s="138"/>
      <c r="J24" s="138"/>
      <c r="K24" s="138"/>
      <c r="L24" s="20" t="str">
        <f t="shared" si="0"/>
        <v/>
      </c>
      <c r="M24" s="138"/>
      <c r="N24" s="178" t="str">
        <f t="shared" si="1"/>
        <v/>
      </c>
      <c r="O24" s="139"/>
      <c r="V24" s="9">
        <f t="shared" si="2"/>
        <v>0</v>
      </c>
      <c r="W24" s="9">
        <f t="shared" si="3"/>
        <v>0</v>
      </c>
      <c r="X24" s="9">
        <f t="shared" si="4"/>
        <v>0</v>
      </c>
      <c r="AE24" s="9" t="str">
        <f t="shared" si="5"/>
        <v>tom</v>
      </c>
      <c r="AF24" s="9" t="str">
        <f t="shared" si="6"/>
        <v>tom</v>
      </c>
      <c r="AG24" s="66">
        <f>VLOOKUP($AF24,Utslippsdata!$B$20:$H$46,Utslippsdata!C$16,FALSE)</f>
        <v>0</v>
      </c>
      <c r="AH24" s="66">
        <f>VLOOKUP($AF24,Utslippsdata!$B$20:$H$46,Utslippsdata!D$16,FALSE)</f>
        <v>0</v>
      </c>
      <c r="AI24" s="66">
        <f>VLOOKUP($AF24,Utslippsdata!$B$20:$H$46,Utslippsdata!E$16,FALSE)</f>
        <v>0</v>
      </c>
      <c r="AJ24" s="66">
        <f>VLOOKUP($AF24,Utslippsdata!$B$20:$H$46,Utslippsdata!F$16,FALSE)</f>
        <v>0</v>
      </c>
      <c r="AK24" s="66">
        <f>VLOOKUP($AF24,Utslippsdata!$B$20:$H$46,Utslippsdata!G$16,FALSE)</f>
        <v>0</v>
      </c>
      <c r="AM24" s="185" t="str">
        <f t="shared" si="7"/>
        <v>tom</v>
      </c>
      <c r="AN24" s="180">
        <f t="shared" si="8"/>
        <v>0</v>
      </c>
      <c r="AO24" s="180">
        <f t="shared" si="8"/>
        <v>0</v>
      </c>
      <c r="AP24" s="180">
        <f t="shared" si="8"/>
        <v>0</v>
      </c>
      <c r="AQ24" s="180">
        <f t="shared" si="8"/>
        <v>0</v>
      </c>
      <c r="AR24" s="181">
        <f t="shared" si="8"/>
        <v>0</v>
      </c>
      <c r="AS24" s="186">
        <f t="shared" si="9"/>
        <v>0</v>
      </c>
      <c r="AT24" s="180">
        <f t="shared" si="9"/>
        <v>0</v>
      </c>
      <c r="AU24" s="180">
        <f t="shared" si="9"/>
        <v>0</v>
      </c>
      <c r="AV24" s="180">
        <f t="shared" si="9"/>
        <v>0</v>
      </c>
      <c r="AW24" s="187">
        <f t="shared" si="9"/>
        <v>0</v>
      </c>
      <c r="AX24" s="180">
        <f t="shared" si="10"/>
        <v>0</v>
      </c>
      <c r="AY24" s="180">
        <f t="shared" si="10"/>
        <v>0</v>
      </c>
      <c r="AZ24" s="180">
        <f t="shared" si="10"/>
        <v>0</v>
      </c>
      <c r="BA24" s="180">
        <f t="shared" si="10"/>
        <v>0</v>
      </c>
      <c r="BB24" s="180">
        <f t="shared" si="10"/>
        <v>0</v>
      </c>
      <c r="BD24" s="9" t="str">
        <f t="shared" si="12"/>
        <v>tom</v>
      </c>
      <c r="BE24" s="9" t="str">
        <f t="shared" si="11"/>
        <v>tom</v>
      </c>
      <c r="BF24" s="66">
        <f>VLOOKUP($AF24,Utslippsdata!$BJ$20:$BP$46,Utslippsdata!C$16,FALSE)</f>
        <v>0</v>
      </c>
      <c r="BG24" s="66">
        <f>VLOOKUP($AF24,Utslippsdata!$BJ$20:$BP$46,Utslippsdata!D$16,FALSE)</f>
        <v>0</v>
      </c>
      <c r="BH24" s="66">
        <f>VLOOKUP($AF24,Utslippsdata!$BJ$20:$BP$46,Utslippsdata!E$16,FALSE)</f>
        <v>0</v>
      </c>
      <c r="BI24" s="66">
        <f>VLOOKUP($AF24,Utslippsdata!$BJ$20:$BP$46,Utslippsdata!F$16,FALSE)</f>
        <v>0</v>
      </c>
      <c r="BJ24" s="66">
        <f>VLOOKUP($AF24,Utslippsdata!$BJ$20:$BP$46,Utslippsdata!G$16,FALSE)</f>
        <v>0</v>
      </c>
      <c r="BK24" s="133"/>
      <c r="BL24" s="2" t="str">
        <f t="shared" si="13"/>
        <v>tom</v>
      </c>
      <c r="BM24" s="2">
        <f t="shared" si="14"/>
        <v>0</v>
      </c>
      <c r="BN24" s="2">
        <f t="shared" si="15"/>
        <v>0</v>
      </c>
      <c r="BO24" s="2">
        <f t="shared" si="16"/>
        <v>0</v>
      </c>
    </row>
    <row r="25" spans="3:67" ht="15.75" thickBot="1">
      <c r="C25" s="20" t="s">
        <v>191</v>
      </c>
      <c r="D25" s="20" t="s">
        <v>192</v>
      </c>
      <c r="E25" s="368"/>
      <c r="F25" s="368"/>
      <c r="G25" s="326"/>
      <c r="H25" s="327"/>
      <c r="I25" s="369"/>
      <c r="J25" s="370"/>
      <c r="K25" s="188"/>
      <c r="L25" s="189"/>
      <c r="M25" s="189"/>
      <c r="N25" s="190"/>
      <c r="O25" s="139"/>
      <c r="P25" s="6"/>
      <c r="Q25" s="6"/>
      <c r="T25" s="6"/>
      <c r="U25" s="6"/>
      <c r="V25" s="9">
        <f t="shared" si="2"/>
        <v>0</v>
      </c>
      <c r="W25" s="9">
        <f t="shared" si="3"/>
        <v>1</v>
      </c>
      <c r="X25" s="9">
        <f t="shared" si="4"/>
        <v>0</v>
      </c>
      <c r="AM25" s="191" t="s">
        <v>191</v>
      </c>
      <c r="AN25" s="192">
        <f>$E$25*SUM(F19:F24)*(Utslippsdata!C54+Utslippsdata!C55)+$E$26*Utslippsdata!C56</f>
        <v>0</v>
      </c>
      <c r="AO25" s="193">
        <f>$E$25*SUM(F19:F24)*(Utslippsdata!D54+Utslippsdata!D55)+$E$26*Utslippsdata!D56</f>
        <v>0</v>
      </c>
      <c r="AP25" s="193">
        <f>$E$25*SUM(F19:F24)*(Utslippsdata!E54+Utslippsdata!E55)+$E$26*Utslippsdata!E56</f>
        <v>0</v>
      </c>
      <c r="AQ25" s="193">
        <f>$E$25*SUM(F19:F24)*(Utslippsdata!F54+Utslippsdata!F55)+$E$26*Utslippsdata!F56</f>
        <v>0</v>
      </c>
      <c r="AR25" s="194">
        <f>$E$25*SUM(F19:F24)*(Utslippsdata!G54+Utslippsdata!G55)+$E$26*Utslippsdata!G56</f>
        <v>0</v>
      </c>
      <c r="AS25" s="195">
        <f>$G$25*SUM(F19:F24)*(Utslippsdata!C54+Utslippsdata!C55)+$G$26*Utslippsdata!C56</f>
        <v>0</v>
      </c>
      <c r="AT25" s="193">
        <f>$G$25*SUM(H19:H24)*(Utslippsdata!D54+Utslippsdata!D55)+$G$26*Utslippsdata!D56</f>
        <v>0</v>
      </c>
      <c r="AU25" s="193">
        <f>$G$25*SUM(H19:H24)*(Utslippsdata!E54+Utslippsdata!E55)+$G$26*Utslippsdata!E56</f>
        <v>0</v>
      </c>
      <c r="AV25" s="193">
        <f>$G$25*SUM(H19:H24)*(Utslippsdata!F54+Utslippsdata!F55)+$G$26*Utslippsdata!F56</f>
        <v>0</v>
      </c>
      <c r="AW25" s="196">
        <f>$G$25*SUM(H19:H24)*(Utslippsdata!G54+Utslippsdata!G55)+$G$26*Utslippsdata!G56</f>
        <v>0</v>
      </c>
      <c r="AX25" s="197"/>
      <c r="AY25" s="198"/>
      <c r="AZ25" s="198"/>
      <c r="BA25" s="198"/>
      <c r="BB25" s="199"/>
    </row>
    <row r="26" spans="3:67" ht="15" thickBot="1">
      <c r="C26" s="20" t="s">
        <v>193</v>
      </c>
      <c r="D26" s="20" t="s">
        <v>194</v>
      </c>
      <c r="E26" s="368"/>
      <c r="F26" s="368"/>
      <c r="G26" s="326"/>
      <c r="H26" s="327"/>
      <c r="I26" s="200"/>
      <c r="J26" s="201"/>
      <c r="K26" s="202"/>
      <c r="L26" s="19"/>
      <c r="M26" s="19"/>
      <c r="N26" s="203"/>
      <c r="O26" s="139"/>
      <c r="P26" s="6"/>
      <c r="Q26" s="6"/>
      <c r="T26" s="6"/>
      <c r="U26" s="6"/>
      <c r="V26" s="9">
        <f t="shared" si="2"/>
        <v>0</v>
      </c>
      <c r="W26" s="9">
        <f t="shared" si="3"/>
        <v>1</v>
      </c>
      <c r="X26" s="9">
        <f t="shared" si="4"/>
        <v>0</v>
      </c>
      <c r="AM26" s="204" t="s">
        <v>170</v>
      </c>
      <c r="AN26" s="205">
        <f t="shared" ref="AN26:BB26" si="17">SUM(AN19:AN25)</f>
        <v>0</v>
      </c>
      <c r="AO26" s="206">
        <f t="shared" si="17"/>
        <v>0</v>
      </c>
      <c r="AP26" s="206">
        <f t="shared" si="17"/>
        <v>0</v>
      </c>
      <c r="AQ26" s="206">
        <f t="shared" si="17"/>
        <v>0</v>
      </c>
      <c r="AR26" s="207">
        <f t="shared" si="17"/>
        <v>0</v>
      </c>
      <c r="AS26" s="205">
        <f t="shared" si="17"/>
        <v>0</v>
      </c>
      <c r="AT26" s="206">
        <f t="shared" si="17"/>
        <v>0</v>
      </c>
      <c r="AU26" s="206">
        <f t="shared" si="17"/>
        <v>0</v>
      </c>
      <c r="AV26" s="206">
        <f t="shared" si="17"/>
        <v>0</v>
      </c>
      <c r="AW26" s="207">
        <f t="shared" si="17"/>
        <v>0</v>
      </c>
      <c r="AX26" s="205">
        <f t="shared" si="17"/>
        <v>0</v>
      </c>
      <c r="AY26" s="206">
        <f t="shared" si="17"/>
        <v>0</v>
      </c>
      <c r="AZ26" s="206">
        <f t="shared" si="17"/>
        <v>0</v>
      </c>
      <c r="BA26" s="206">
        <f t="shared" si="17"/>
        <v>0</v>
      </c>
      <c r="BB26" s="207">
        <f t="shared" si="17"/>
        <v>0</v>
      </c>
    </row>
    <row r="27" spans="3:67">
      <c r="C27" s="178" t="s">
        <v>195</v>
      </c>
      <c r="D27" s="208"/>
      <c r="E27" s="324"/>
      <c r="F27" s="325"/>
      <c r="G27" s="326"/>
      <c r="H27" s="327"/>
      <c r="I27" s="326"/>
      <c r="J27" s="327"/>
      <c r="K27" s="209"/>
      <c r="L27" s="210"/>
      <c r="M27" s="210"/>
      <c r="N27" s="211"/>
      <c r="O27" s="139"/>
      <c r="V27" s="9">
        <f t="shared" si="2"/>
        <v>0</v>
      </c>
      <c r="W27" s="9">
        <f t="shared" si="3"/>
        <v>1</v>
      </c>
      <c r="X27" s="9">
        <f t="shared" si="4"/>
        <v>0</v>
      </c>
    </row>
    <row r="28" spans="3:67">
      <c r="C28" s="19"/>
      <c r="D28" s="19"/>
      <c r="E28" s="19"/>
      <c r="F28" s="19"/>
      <c r="G28" s="19"/>
      <c r="H28" s="19"/>
      <c r="I28" s="19"/>
      <c r="J28" s="19"/>
      <c r="K28" s="19"/>
      <c r="L28" s="19"/>
      <c r="M28" s="19"/>
      <c r="N28" s="19"/>
      <c r="O28" s="19"/>
      <c r="AM28" s="9" t="s">
        <v>196</v>
      </c>
      <c r="AN28" s="9"/>
      <c r="AO28" s="9"/>
      <c r="AP28" s="9"/>
      <c r="AQ28" s="9"/>
      <c r="AR28" s="9"/>
      <c r="AS28" s="9"/>
      <c r="AT28" s="9"/>
      <c r="AU28" s="9"/>
      <c r="AV28" s="9"/>
      <c r="AW28" s="9"/>
      <c r="AX28" s="9">
        <f ca="1">YEAR(TODAY())</f>
        <v>2025</v>
      </c>
      <c r="AY28" s="10">
        <f>DATE('Generelt om prosjektet'!C26,1,1)</f>
        <v>46023</v>
      </c>
      <c r="AZ28" s="9">
        <f>YEAR(AY28)</f>
        <v>2026</v>
      </c>
      <c r="BA28" s="9"/>
    </row>
    <row r="29" spans="3:67">
      <c r="C29" s="51" t="s">
        <v>197</v>
      </c>
      <c r="D29" s="51"/>
      <c r="E29" s="51" t="s">
        <v>198</v>
      </c>
      <c r="F29" s="51" t="s">
        <v>172</v>
      </c>
      <c r="G29" s="212" t="s">
        <v>93</v>
      </c>
      <c r="H29" s="213"/>
      <c r="I29" s="213"/>
      <c r="J29" s="169"/>
      <c r="K29" s="19"/>
      <c r="L29" s="19"/>
      <c r="M29" s="19"/>
      <c r="N29" s="19"/>
      <c r="O29" s="19"/>
      <c r="U29" s="2" t="s">
        <v>199</v>
      </c>
      <c r="V29" s="9">
        <f>SUM(E19:F22)</f>
        <v>0</v>
      </c>
      <c r="W29" s="9">
        <f>SUM(G19:H22)</f>
        <v>0</v>
      </c>
      <c r="X29" s="9">
        <f>SUM(I19:J22)</f>
        <v>0</v>
      </c>
      <c r="AM29" s="9" t="s">
        <v>200</v>
      </c>
      <c r="AN29" s="9"/>
      <c r="AO29" s="9"/>
      <c r="AP29" s="9"/>
      <c r="AQ29" s="9"/>
      <c r="AR29" s="9"/>
      <c r="AS29" s="9"/>
      <c r="AT29" s="9"/>
      <c r="AU29" s="9"/>
      <c r="AV29" s="9"/>
      <c r="AW29" s="9"/>
      <c r="AX29" s="9">
        <f ca="1">IF(AZ28&gt;AX28,AZ28,AX28)</f>
        <v>2026</v>
      </c>
      <c r="AY29" s="9"/>
      <c r="AZ29" s="9"/>
      <c r="BA29" s="9"/>
    </row>
    <row r="30" spans="3:67" ht="25.5">
      <c r="C30" s="153" t="s">
        <v>201</v>
      </c>
      <c r="D30" s="214" t="s">
        <v>202</v>
      </c>
      <c r="E30" s="142">
        <v>1.95</v>
      </c>
      <c r="F30" s="153" t="s">
        <v>203</v>
      </c>
      <c r="G30" s="321"/>
      <c r="H30" s="322"/>
      <c r="I30" s="322"/>
      <c r="J30" s="323"/>
      <c r="U30" s="2" t="s">
        <v>204</v>
      </c>
      <c r="V30" s="9">
        <f>SUM(E23:H24)</f>
        <v>0</v>
      </c>
      <c r="W30" s="9"/>
      <c r="X30" s="9"/>
      <c r="AM30" s="9" t="s">
        <v>205</v>
      </c>
      <c r="AN30" s="9"/>
      <c r="AO30" s="9"/>
      <c r="AP30" s="9"/>
      <c r="AQ30" s="9"/>
      <c r="AR30" s="9"/>
      <c r="AS30" s="9"/>
      <c r="AT30" s="9"/>
      <c r="AU30" s="9"/>
      <c r="AV30" s="9"/>
      <c r="AW30" s="9"/>
      <c r="AX30" s="10">
        <f>DATE(I27,1,1)</f>
        <v>1</v>
      </c>
      <c r="AY30" s="9"/>
      <c r="AZ30" s="9">
        <f>IF(I27="",0,YEAR(AX30))</f>
        <v>0</v>
      </c>
      <c r="BA30" s="9"/>
    </row>
    <row r="31" spans="3:67">
      <c r="C31" s="19"/>
      <c r="D31" s="19"/>
      <c r="E31" s="19"/>
      <c r="F31" s="19"/>
      <c r="G31" s="328"/>
      <c r="H31" s="328"/>
      <c r="I31" s="328"/>
      <c r="J31" s="328"/>
      <c r="AM31" s="9" t="s">
        <v>206</v>
      </c>
      <c r="AN31" s="9"/>
      <c r="AO31" s="9"/>
      <c r="AP31" s="9"/>
      <c r="AQ31" s="9"/>
      <c r="AR31" s="9"/>
      <c r="AS31" s="9"/>
      <c r="AT31" s="9"/>
      <c r="AU31" s="9"/>
      <c r="AV31" s="9"/>
      <c r="AW31" s="9"/>
      <c r="AX31" s="9">
        <f ca="1">AX29-AZ30</f>
        <v>2026</v>
      </c>
      <c r="AY31" s="9" t="s">
        <v>207</v>
      </c>
      <c r="AZ31" s="9">
        <f>'Generelt om prosjektet'!C24</f>
        <v>50</v>
      </c>
      <c r="BA31" s="9" t="s">
        <v>207</v>
      </c>
    </row>
    <row r="32" spans="3:67">
      <c r="C32" s="19"/>
      <c r="D32" s="19"/>
      <c r="E32" s="19"/>
      <c r="F32" s="19"/>
      <c r="G32" s="328"/>
      <c r="H32" s="328"/>
      <c r="I32" s="328"/>
      <c r="J32" s="328"/>
      <c r="V32" s="2">
        <f>V30+W29+W30</f>
        <v>0</v>
      </c>
      <c r="AM32" s="9" t="s">
        <v>208</v>
      </c>
      <c r="AN32" s="9"/>
      <c r="AO32" s="9"/>
      <c r="AP32" s="9"/>
      <c r="AQ32" s="9"/>
      <c r="AR32" s="9"/>
      <c r="AS32" s="9"/>
      <c r="AT32" s="9"/>
      <c r="AU32" s="9"/>
      <c r="AV32" s="9"/>
      <c r="AW32" s="9"/>
      <c r="AX32" s="9">
        <f ca="1">'Generelt om prosjektet'!C24-AX31</f>
        <v>-1976</v>
      </c>
      <c r="AY32" s="9" t="s">
        <v>207</v>
      </c>
      <c r="AZ32" s="9"/>
      <c r="BA32" s="9"/>
    </row>
    <row r="33" spans="3:53" ht="15" thickBot="1">
      <c r="C33" s="215" t="s">
        <v>209</v>
      </c>
      <c r="D33" s="51" t="s">
        <v>4</v>
      </c>
      <c r="E33" s="51" t="s">
        <v>210</v>
      </c>
      <c r="F33" s="51" t="s">
        <v>172</v>
      </c>
      <c r="G33" s="212" t="s">
        <v>93</v>
      </c>
      <c r="H33" s="213"/>
      <c r="I33" s="213"/>
      <c r="J33" s="169"/>
      <c r="AE33" s="158" t="s">
        <v>211</v>
      </c>
      <c r="AF33" s="159"/>
      <c r="AG33" s="160"/>
      <c r="AM33" s="9" t="s">
        <v>212</v>
      </c>
      <c r="AX33" s="216">
        <f ca="1">IF($AX$31&lt;$AZ$31,AX26/$AZ$31*$AX$32,0)</f>
        <v>0</v>
      </c>
      <c r="AY33" s="216">
        <f ca="1">IF($AX$31&lt;$AZ$31,AY26/$AZ$31*$AX$32,0)</f>
        <v>0</v>
      </c>
      <c r="AZ33" s="216">
        <f ca="1">IF($AX$31&lt;$AZ$31,AZ26/$AZ$31*$AX$32,0)</f>
        <v>0</v>
      </c>
      <c r="BA33" s="216">
        <f ca="1">IF($AX$31&lt;$AZ$31,BA26/$AZ$31*$AX$32,0)</f>
        <v>0</v>
      </c>
    </row>
    <row r="34" spans="3:53">
      <c r="C34" s="20" t="s">
        <v>213</v>
      </c>
      <c r="D34" s="20" t="s">
        <v>214</v>
      </c>
      <c r="E34" s="140"/>
      <c r="F34" s="20" t="s">
        <v>215</v>
      </c>
      <c r="G34" s="315"/>
      <c r="H34" s="315"/>
      <c r="I34" s="315"/>
      <c r="J34" s="315"/>
      <c r="AE34" s="9"/>
      <c r="AF34" s="9"/>
      <c r="AG34" s="9"/>
      <c r="AI34" s="9" t="s">
        <v>216</v>
      </c>
      <c r="AJ34" s="9">
        <f t="shared" ref="AJ34:AJ43" ca="1" si="18">SUMIF($L$19:$M$24,AI34,$M$19:$M$24)</f>
        <v>0</v>
      </c>
      <c r="AK34" s="2" t="s">
        <v>217</v>
      </c>
    </row>
    <row r="35" spans="3:53">
      <c r="C35" s="20" t="s">
        <v>218</v>
      </c>
      <c r="D35" s="20" t="s">
        <v>219</v>
      </c>
      <c r="E35" s="140"/>
      <c r="F35" s="20" t="s">
        <v>215</v>
      </c>
      <c r="G35" s="315"/>
      <c r="H35" s="315"/>
      <c r="I35" s="315"/>
      <c r="J35" s="315"/>
      <c r="AE35" s="9" t="s">
        <v>196</v>
      </c>
      <c r="AF35" s="9">
        <f>'Generelt om prosjektet'!C24</f>
        <v>50</v>
      </c>
      <c r="AG35" s="9"/>
      <c r="AI35" s="9" t="s">
        <v>220</v>
      </c>
      <c r="AJ35" s="9">
        <f t="shared" ca="1" si="18"/>
        <v>0</v>
      </c>
      <c r="AM35" s="158" t="s">
        <v>221</v>
      </c>
      <c r="AN35" s="159"/>
      <c r="AO35" s="159"/>
      <c r="AP35" s="159"/>
      <c r="AQ35" s="159"/>
      <c r="AR35" s="159"/>
      <c r="AS35" s="159"/>
      <c r="AT35" s="160"/>
    </row>
    <row r="36" spans="3:53">
      <c r="C36" s="20" t="s">
        <v>222</v>
      </c>
      <c r="D36" s="144"/>
      <c r="E36" s="143"/>
      <c r="F36" s="20" t="s">
        <v>215</v>
      </c>
      <c r="G36" s="315"/>
      <c r="H36" s="315"/>
      <c r="I36" s="315"/>
      <c r="J36" s="315"/>
      <c r="AE36" s="9" t="str">
        <f>C34</f>
        <v>Beregnet levert strøm</v>
      </c>
      <c r="AF36" s="66">
        <f>E34*Utslippsdata!C76*$AF$35/1000</f>
        <v>0</v>
      </c>
      <c r="AG36" s="9" t="s">
        <v>223</v>
      </c>
      <c r="AI36" s="9" t="s">
        <v>224</v>
      </c>
      <c r="AJ36" s="9">
        <f t="shared" ca="1" si="18"/>
        <v>0</v>
      </c>
      <c r="AK36" s="2" t="s">
        <v>225</v>
      </c>
      <c r="AM36" s="2">
        <f>'Generelt om prosjektet'!C24</f>
        <v>50</v>
      </c>
      <c r="AN36" s="2" t="s">
        <v>207</v>
      </c>
      <c r="AO36" s="406" t="s">
        <v>226</v>
      </c>
      <c r="AP36" s="406"/>
      <c r="AQ36" s="406"/>
      <c r="AR36" s="406"/>
      <c r="AS36" s="406"/>
      <c r="AT36" s="406"/>
    </row>
    <row r="37" spans="3:53" ht="15">
      <c r="C37" s="20" t="s">
        <v>227</v>
      </c>
      <c r="D37" s="20" t="s">
        <v>228</v>
      </c>
      <c r="E37" s="130"/>
      <c r="F37" s="20" t="s">
        <v>229</v>
      </c>
      <c r="G37" s="315"/>
      <c r="H37" s="315"/>
      <c r="I37" s="315"/>
      <c r="J37" s="315"/>
      <c r="AE37" s="9" t="str">
        <f>C35</f>
        <v>Beregnet levert fjernvarme</v>
      </c>
      <c r="AF37" s="66">
        <f>E35*Utslippsdata!C80*$AF$35/1000</f>
        <v>0</v>
      </c>
      <c r="AG37" s="9" t="s">
        <v>223</v>
      </c>
      <c r="AI37" s="9" t="s">
        <v>230</v>
      </c>
      <c r="AJ37" s="9">
        <f t="shared" ca="1" si="18"/>
        <v>0</v>
      </c>
      <c r="AM37" s="24"/>
      <c r="AN37" s="24" t="s">
        <v>231</v>
      </c>
      <c r="AO37" s="24" t="s">
        <v>232</v>
      </c>
      <c r="AP37" s="24" t="s">
        <v>233</v>
      </c>
      <c r="AQ37" s="24" t="s">
        <v>234</v>
      </c>
      <c r="AR37" s="24" t="s">
        <v>235</v>
      </c>
      <c r="AS37" s="24" t="s">
        <v>236</v>
      </c>
      <c r="AT37" s="24" t="s">
        <v>237</v>
      </c>
      <c r="AW37" s="74"/>
    </row>
    <row r="38" spans="3:53" ht="15" thickBot="1">
      <c r="C38" s="20" t="s">
        <v>238</v>
      </c>
      <c r="D38" s="20" t="s">
        <v>238</v>
      </c>
      <c r="E38" s="140"/>
      <c r="F38" s="20" t="s">
        <v>239</v>
      </c>
      <c r="G38" s="315"/>
      <c r="H38" s="315"/>
      <c r="I38" s="315"/>
      <c r="J38" s="315"/>
      <c r="V38" s="158" t="s">
        <v>240</v>
      </c>
      <c r="W38" s="159"/>
      <c r="X38" s="159"/>
      <c r="Y38" s="160"/>
      <c r="AE38" s="9" t="str">
        <f>C36</f>
        <v>Annen kilde, spesifiser</v>
      </c>
      <c r="AF38" s="66">
        <f>E36*E37*$AF$35/1000</f>
        <v>0</v>
      </c>
      <c r="AG38" s="9" t="s">
        <v>223</v>
      </c>
      <c r="AI38" s="9" t="s">
        <v>241</v>
      </c>
      <c r="AJ38" s="9">
        <f t="shared" ca="1" si="18"/>
        <v>0</v>
      </c>
      <c r="AK38" s="2" t="s">
        <v>242</v>
      </c>
      <c r="AM38" s="9" t="s">
        <v>243</v>
      </c>
      <c r="AN38" s="9">
        <f t="shared" ref="AN38:AN48" si="19">SUMIF($D$19:$D$24,AM38,$E$19:$E$24)+SUMIF($D$19:$D$24,AM38,$G$19:$G$24)</f>
        <v>0</v>
      </c>
      <c r="AO38" s="14">
        <f>IFERROR(Utslippsdata!C114+800/AN38,0)*AN38</f>
        <v>0</v>
      </c>
      <c r="AP38" s="14">
        <f>IFERROR(120+1600/AN38,0)*AN38</f>
        <v>0</v>
      </c>
      <c r="AQ38" s="14">
        <f>IFERROR(145+2500/AN38,0)*AN38</f>
        <v>0</v>
      </c>
      <c r="AR38" s="14">
        <f>IFERROR(175+4100/AN38,0)*AN38</f>
        <v>0</v>
      </c>
      <c r="AS38" s="14">
        <f>IFERROR(205+5800/AN38,0)*AN38</f>
        <v>0</v>
      </c>
      <c r="AT38" s="14">
        <f>IFERROR(250+8000/AN38,0)*AN38</f>
        <v>0</v>
      </c>
    </row>
    <row r="39" spans="3:53">
      <c r="C39" s="20" t="s">
        <v>244</v>
      </c>
      <c r="D39" s="20" t="s">
        <v>245</v>
      </c>
      <c r="E39" s="140"/>
      <c r="F39" s="20" t="s">
        <v>215</v>
      </c>
      <c r="G39" s="315"/>
      <c r="H39" s="315"/>
      <c r="I39" s="315"/>
      <c r="J39" s="315"/>
      <c r="V39" s="9" t="s">
        <v>246</v>
      </c>
      <c r="W39" s="9"/>
      <c r="X39" s="9"/>
      <c r="Y39" s="9" t="s">
        <v>247</v>
      </c>
      <c r="Z39" s="12"/>
      <c r="AA39" s="218" t="s">
        <v>100</v>
      </c>
      <c r="AB39" s="6"/>
      <c r="AE39" s="9" t="str">
        <f>C39</f>
        <v>Levert strøm fra solceller</v>
      </c>
      <c r="AF39" s="66">
        <f>E39*Utslippsdata!C76*$AF$35/1000</f>
        <v>0</v>
      </c>
      <c r="AG39" s="9" t="s">
        <v>223</v>
      </c>
      <c r="AI39" s="9" t="s">
        <v>248</v>
      </c>
      <c r="AJ39" s="9">
        <f t="shared" ca="1" si="18"/>
        <v>0</v>
      </c>
      <c r="AK39" s="2" t="s">
        <v>249</v>
      </c>
      <c r="AM39" s="9" t="s">
        <v>185</v>
      </c>
      <c r="AN39" s="9">
        <f t="shared" si="19"/>
        <v>0</v>
      </c>
      <c r="AO39" s="14">
        <f>IFERROR(85+600/AN39,0)*AN39</f>
        <v>0</v>
      </c>
      <c r="AP39" s="14">
        <f>IFERROR(95+1000/AN39,0)*AN39</f>
        <v>0</v>
      </c>
      <c r="AQ39" s="14">
        <f>IFERROR(110+1500/AN39,0)*AN39</f>
        <v>0</v>
      </c>
      <c r="AR39" s="14">
        <f>IFERROR(135+2200/AN39,0)*AN39</f>
        <v>0</v>
      </c>
      <c r="AS39" s="14">
        <f>IFERROR(160+3000/AN39,0)*AN39</f>
        <v>0</v>
      </c>
      <c r="AT39" s="14">
        <f>IFERROR(200+4000/AN39,0)*AN39</f>
        <v>0</v>
      </c>
    </row>
    <row r="40" spans="3:53">
      <c r="C40" s="19"/>
      <c r="D40" s="19"/>
      <c r="E40" s="19"/>
      <c r="F40" s="19"/>
      <c r="G40" s="19"/>
      <c r="H40" s="19"/>
      <c r="I40" s="19"/>
      <c r="J40" s="19"/>
      <c r="V40" s="9">
        <f>IF(OR(D19=AK135,D20=AK135,D21=AK135,D22=AK135),1,0)</f>
        <v>0</v>
      </c>
      <c r="W40" s="9"/>
      <c r="X40" s="9">
        <v>1.95</v>
      </c>
      <c r="Y40" s="9">
        <f>IF(E30="",X40,E30)</f>
        <v>1.95</v>
      </c>
      <c r="AA40" s="185" t="s">
        <v>250</v>
      </c>
      <c r="AE40" s="9" t="s">
        <v>251</v>
      </c>
      <c r="AF40" s="66">
        <f>E38*(Utslippsdata!B107+Utslippsdata!C107+Utslippsdata!D107+Utslippsdata!E107+Utslippsdata!F107)/1000</f>
        <v>0</v>
      </c>
      <c r="AG40" s="9" t="s">
        <v>223</v>
      </c>
      <c r="AI40" s="9" t="s">
        <v>252</v>
      </c>
      <c r="AJ40" s="9">
        <f t="shared" ca="1" si="18"/>
        <v>0</v>
      </c>
      <c r="AK40" s="2" t="s">
        <v>253</v>
      </c>
      <c r="AM40" s="9" t="s">
        <v>254</v>
      </c>
      <c r="AN40" s="9">
        <f t="shared" si="19"/>
        <v>0</v>
      </c>
      <c r="AO40" s="14">
        <f>$AN40*Utslippsdata!C118</f>
        <v>0</v>
      </c>
      <c r="AP40" s="14">
        <f>$AN40*Utslippsdata!D118</f>
        <v>0</v>
      </c>
      <c r="AQ40" s="14">
        <f>$AN40*Utslippsdata!E118</f>
        <v>0</v>
      </c>
      <c r="AR40" s="14">
        <f>$AN40*Utslippsdata!F118</f>
        <v>0</v>
      </c>
      <c r="AS40" s="14">
        <f>$AN40*Utslippsdata!G118</f>
        <v>0</v>
      </c>
      <c r="AT40" s="14">
        <f>$AN40*Utslippsdata!H118</f>
        <v>0</v>
      </c>
    </row>
    <row r="41" spans="3:53">
      <c r="C41" s="20" t="s">
        <v>255</v>
      </c>
      <c r="D41" s="130" t="s">
        <v>250</v>
      </c>
      <c r="E41" s="19"/>
      <c r="F41" s="19"/>
      <c r="G41" s="19"/>
      <c r="H41" s="19"/>
      <c r="I41" s="19"/>
      <c r="J41" s="19"/>
      <c r="AA41" s="185" t="s">
        <v>256</v>
      </c>
      <c r="AI41" s="9" t="s">
        <v>257</v>
      </c>
      <c r="AJ41" s="9">
        <f t="shared" ca="1" si="18"/>
        <v>0</v>
      </c>
      <c r="AK41" s="2" t="s">
        <v>258</v>
      </c>
      <c r="AM41" s="9" t="s">
        <v>183</v>
      </c>
      <c r="AN41" s="9">
        <f t="shared" si="19"/>
        <v>0</v>
      </c>
      <c r="AO41" s="14">
        <f>$AN41*Utslippsdata!C119</f>
        <v>0</v>
      </c>
      <c r="AP41" s="14">
        <f>$AN41*Utslippsdata!D119</f>
        <v>0</v>
      </c>
      <c r="AQ41" s="14">
        <f>$AN41*Utslippsdata!E119</f>
        <v>0</v>
      </c>
      <c r="AR41" s="14">
        <f>$AN41*Utslippsdata!F119</f>
        <v>0</v>
      </c>
      <c r="AS41" s="14">
        <f>$AN41*Utslippsdata!G119</f>
        <v>0</v>
      </c>
      <c r="AT41" s="14">
        <f>$AN41*Utslippsdata!H119</f>
        <v>0</v>
      </c>
    </row>
    <row r="42" spans="3:53">
      <c r="C42" s="19"/>
      <c r="D42" s="19"/>
      <c r="E42" s="19"/>
      <c r="F42" s="19"/>
      <c r="G42" s="19"/>
      <c r="H42" s="19"/>
      <c r="I42" s="19"/>
      <c r="J42" s="19"/>
      <c r="AA42" s="185" t="s">
        <v>101</v>
      </c>
      <c r="AE42" s="219" t="s">
        <v>259</v>
      </c>
      <c r="AF42" s="219"/>
      <c r="AI42" s="9" t="s">
        <v>260</v>
      </c>
      <c r="AJ42" s="9">
        <f t="shared" ca="1" si="18"/>
        <v>0</v>
      </c>
      <c r="AK42" s="2" t="s">
        <v>261</v>
      </c>
      <c r="AM42" s="9" t="s">
        <v>262</v>
      </c>
      <c r="AN42" s="9">
        <f t="shared" si="19"/>
        <v>0</v>
      </c>
      <c r="AO42" s="14">
        <f>$AN42*Utslippsdata!C120</f>
        <v>0</v>
      </c>
      <c r="AP42" s="14">
        <f>$AN42*Utslippsdata!D120</f>
        <v>0</v>
      </c>
      <c r="AQ42" s="14">
        <f>$AN42*Utslippsdata!E120</f>
        <v>0</v>
      </c>
      <c r="AR42" s="14">
        <f>$AN42*Utslippsdata!F120</f>
        <v>0</v>
      </c>
      <c r="AS42" s="14">
        <f>$AN42*Utslippsdata!G120</f>
        <v>0</v>
      </c>
      <c r="AT42" s="14">
        <f>$AN42*Utslippsdata!H120</f>
        <v>0</v>
      </c>
    </row>
    <row r="43" spans="3:53">
      <c r="C43" s="51" t="s">
        <v>263</v>
      </c>
      <c r="D43" s="51"/>
      <c r="E43" s="51" t="s">
        <v>264</v>
      </c>
      <c r="F43" s="212" t="s">
        <v>93</v>
      </c>
      <c r="G43" s="213"/>
      <c r="H43" s="213"/>
      <c r="I43" s="213"/>
      <c r="J43" s="169"/>
      <c r="AA43" s="220"/>
      <c r="AE43" s="219" t="s">
        <v>265</v>
      </c>
      <c r="AF43" s="219"/>
      <c r="AI43" s="9" t="s">
        <v>266</v>
      </c>
      <c r="AJ43" s="9">
        <f t="shared" ca="1" si="18"/>
        <v>0</v>
      </c>
      <c r="AM43" s="9" t="s">
        <v>267</v>
      </c>
      <c r="AN43" s="9">
        <f t="shared" si="19"/>
        <v>0</v>
      </c>
      <c r="AO43" s="14">
        <f>$AN43*Utslippsdata!C121</f>
        <v>0</v>
      </c>
      <c r="AP43" s="14">
        <f>$AN43*Utslippsdata!D121</f>
        <v>0</v>
      </c>
      <c r="AQ43" s="14">
        <f>$AN43*Utslippsdata!E121</f>
        <v>0</v>
      </c>
      <c r="AR43" s="14">
        <f>$AN43*Utslippsdata!F121</f>
        <v>0</v>
      </c>
      <c r="AS43" s="14">
        <f>$AN43*Utslippsdata!G121</f>
        <v>0</v>
      </c>
      <c r="AT43" s="14">
        <f>$AN43*Utslippsdata!H121</f>
        <v>0</v>
      </c>
    </row>
    <row r="44" spans="3:53" ht="14.25" customHeight="1">
      <c r="C44" s="178" t="s">
        <v>268</v>
      </c>
      <c r="D44" s="208"/>
      <c r="E44" s="130" t="s">
        <v>269</v>
      </c>
      <c r="F44" s="315"/>
      <c r="G44" s="315"/>
      <c r="H44" s="315"/>
      <c r="I44" s="315"/>
      <c r="J44" s="315"/>
      <c r="V44" s="219" t="s">
        <v>270</v>
      </c>
      <c r="AA44" s="220"/>
      <c r="AE44" s="66">
        <f>D54*Utslippsdata!C146</f>
        <v>0</v>
      </c>
      <c r="AF44" s="9" t="s">
        <v>271</v>
      </c>
      <c r="AM44" s="9" t="s">
        <v>272</v>
      </c>
      <c r="AN44" s="9">
        <f t="shared" si="19"/>
        <v>0</v>
      </c>
      <c r="AO44" s="14">
        <f>$AN44*Utslippsdata!C122</f>
        <v>0</v>
      </c>
      <c r="AP44" s="14">
        <f>$AN44*Utslippsdata!D122</f>
        <v>0</v>
      </c>
      <c r="AQ44" s="14">
        <f>$AN44*Utslippsdata!E122</f>
        <v>0</v>
      </c>
      <c r="AR44" s="14">
        <f>$AN44*Utslippsdata!F122</f>
        <v>0</v>
      </c>
      <c r="AS44" s="14">
        <f>$AN44*Utslippsdata!G122</f>
        <v>0</v>
      </c>
      <c r="AT44" s="14">
        <f>$AN44*Utslippsdata!H122</f>
        <v>0</v>
      </c>
    </row>
    <row r="45" spans="3:53">
      <c r="C45" s="221" t="str">
        <f>IF(E44=Ja,"","*Hvis nei inkluderes utslipp i beregningene basert på oppgitt areal og standard utslippstall for solceller, inverter, kabler, festesystem og ballast")</f>
        <v>*Hvis nei inkluderes utslipp i beregningene basert på oppgitt areal og standard utslippstall for solceller, inverter, kabler, festesystem og ballast</v>
      </c>
      <c r="D45" s="19"/>
      <c r="E45" s="19"/>
      <c r="F45" s="19"/>
      <c r="G45" s="19"/>
      <c r="H45" s="19"/>
      <c r="I45" s="19"/>
      <c r="J45" s="19"/>
      <c r="V45" s="9" t="s">
        <v>273</v>
      </c>
      <c r="AA45" s="185" t="s">
        <v>274</v>
      </c>
      <c r="AE45" s="66">
        <f>D55*Utslippsdata!C147</f>
        <v>0</v>
      </c>
      <c r="AF45" s="9" t="s">
        <v>271</v>
      </c>
      <c r="AI45" s="2" t="s">
        <v>275</v>
      </c>
      <c r="AJ45" s="2">
        <v>1.95</v>
      </c>
      <c r="AM45" s="9" t="s">
        <v>276</v>
      </c>
      <c r="AN45" s="9">
        <f t="shared" si="19"/>
        <v>0</v>
      </c>
      <c r="AO45" s="14">
        <f>$AN45*Utslippsdata!C123</f>
        <v>0</v>
      </c>
      <c r="AP45" s="14">
        <f>$AN45*Utslippsdata!D123</f>
        <v>0</v>
      </c>
      <c r="AQ45" s="14">
        <f>$AN45*Utslippsdata!E123</f>
        <v>0</v>
      </c>
      <c r="AR45" s="14">
        <f>$AN45*Utslippsdata!F123</f>
        <v>0</v>
      </c>
      <c r="AS45" s="14">
        <f>$AN45*Utslippsdata!G123</f>
        <v>0</v>
      </c>
      <c r="AT45" s="14">
        <f>$AN45*Utslippsdata!H123</f>
        <v>0</v>
      </c>
    </row>
    <row r="46" spans="3:53" ht="15" customHeight="1">
      <c r="C46" s="221" t="str">
        <f>IF(E44=Nei,"","*Hvis ja skal materialutslipp fra solceller, inverter, kabler, festesystem og ballast inkluderes i A1-A3, A4, A5, B1-B5 (antatt 30 år levetid) og C1-C4 inkluderes i resultattabell under")</f>
        <v/>
      </c>
      <c r="D46" s="19"/>
      <c r="E46" s="19"/>
      <c r="F46" s="19"/>
      <c r="G46" s="19"/>
      <c r="H46" s="19"/>
      <c r="I46" s="19"/>
      <c r="J46" s="19"/>
      <c r="V46" s="9">
        <f>IF(E38&gt;0,1,0)</f>
        <v>0</v>
      </c>
      <c r="AA46" s="185" t="s">
        <v>277</v>
      </c>
      <c r="AE46" s="66">
        <f>D56*Utslippsdata!C148</f>
        <v>0</v>
      </c>
      <c r="AF46" s="9" t="s">
        <v>271</v>
      </c>
      <c r="AI46" s="2" t="s">
        <v>278</v>
      </c>
      <c r="AJ46" s="2">
        <f>IF((OR(E30=0,E30="")),AJ45,E30)</f>
        <v>1.95</v>
      </c>
      <c r="AM46" s="9" t="s">
        <v>279</v>
      </c>
      <c r="AN46" s="9">
        <f t="shared" si="19"/>
        <v>0</v>
      </c>
      <c r="AO46" s="14">
        <f>$AN46*Utslippsdata!C124</f>
        <v>0</v>
      </c>
      <c r="AP46" s="14">
        <f>$AN46*Utslippsdata!D124</f>
        <v>0</v>
      </c>
      <c r="AQ46" s="14">
        <f>$AN46*Utslippsdata!E124</f>
        <v>0</v>
      </c>
      <c r="AR46" s="14">
        <f>$AN46*Utslippsdata!F124</f>
        <v>0</v>
      </c>
      <c r="AS46" s="14">
        <f>$AN46*Utslippsdata!G124</f>
        <v>0</v>
      </c>
      <c r="AT46" s="14">
        <f>$AN46*Utslippsdata!H124</f>
        <v>0</v>
      </c>
    </row>
    <row r="47" spans="3:53" ht="15" customHeight="1" thickBot="1">
      <c r="C47" s="19"/>
      <c r="D47" s="19"/>
      <c r="E47" s="19"/>
      <c r="F47" s="19"/>
      <c r="G47" s="19"/>
      <c r="H47" s="19"/>
      <c r="I47" s="19"/>
      <c r="J47" s="19"/>
      <c r="AA47" s="222" t="s">
        <v>269</v>
      </c>
      <c r="AE47" s="66">
        <f>D57*Utslippsdata!C149</f>
        <v>0</v>
      </c>
      <c r="AF47" s="9" t="s">
        <v>271</v>
      </c>
      <c r="AI47"/>
      <c r="AM47" s="9" t="s">
        <v>280</v>
      </c>
      <c r="AN47" s="9">
        <f t="shared" si="19"/>
        <v>0</v>
      </c>
      <c r="AO47" s="14">
        <f>$AN47*Utslippsdata!C125</f>
        <v>0</v>
      </c>
      <c r="AP47" s="14">
        <f>$AN47*Utslippsdata!D125</f>
        <v>0</v>
      </c>
      <c r="AQ47" s="14">
        <f>$AN47*Utslippsdata!E125</f>
        <v>0</v>
      </c>
      <c r="AR47" s="14">
        <f>$AN47*Utslippsdata!F125</f>
        <v>0</v>
      </c>
      <c r="AS47" s="14">
        <f>$AN47*Utslippsdata!G125</f>
        <v>0</v>
      </c>
      <c r="AT47" s="14">
        <f>$AN47*Utslippsdata!H125</f>
        <v>0</v>
      </c>
    </row>
    <row r="48" spans="3:53" ht="15" customHeight="1">
      <c r="C48" s="215" t="s">
        <v>281</v>
      </c>
      <c r="D48" s="352" t="s">
        <v>282</v>
      </c>
      <c r="E48" s="353" t="s">
        <v>283</v>
      </c>
      <c r="F48" s="353" t="s">
        <v>172</v>
      </c>
      <c r="G48" s="353" t="s">
        <v>284</v>
      </c>
      <c r="H48" s="353" t="s">
        <v>93</v>
      </c>
      <c r="I48" s="353"/>
      <c r="J48" s="353"/>
      <c r="AE48" s="223">
        <f>SUM(AE44:AE47)/1000</f>
        <v>0</v>
      </c>
      <c r="AF48" s="24" t="s">
        <v>223</v>
      </c>
      <c r="AI48" s="9" t="s">
        <v>285</v>
      </c>
      <c r="AJ48" s="9">
        <f ca="1">ROUND(AJ35*AJ46+AJ39,0)</f>
        <v>0</v>
      </c>
      <c r="AK48" s="2" t="s">
        <v>249</v>
      </c>
      <c r="AM48" s="9" t="s">
        <v>286</v>
      </c>
      <c r="AN48" s="9">
        <f t="shared" si="19"/>
        <v>0</v>
      </c>
      <c r="AO48" s="14">
        <f>$AN48*Utslippsdata!C126</f>
        <v>0</v>
      </c>
      <c r="AP48" s="14">
        <f>$AN48*Utslippsdata!D126</f>
        <v>0</v>
      </c>
      <c r="AQ48" s="14">
        <f>$AN48*Utslippsdata!E126</f>
        <v>0</v>
      </c>
      <c r="AR48" s="14">
        <f>$AN48*Utslippsdata!F126</f>
        <v>0</v>
      </c>
      <c r="AS48" s="14">
        <f>$AN48*Utslippsdata!G126</f>
        <v>0</v>
      </c>
      <c r="AT48" s="14">
        <f>$AN48*Utslippsdata!H126</f>
        <v>0</v>
      </c>
    </row>
    <row r="49" spans="3:46" ht="15">
      <c r="C49" s="51" t="s">
        <v>287</v>
      </c>
      <c r="D49" s="352"/>
      <c r="E49" s="353"/>
      <c r="F49" s="353"/>
      <c r="G49" s="353"/>
      <c r="H49" s="353"/>
      <c r="I49" s="353"/>
      <c r="J49" s="353"/>
      <c r="M49" s="6"/>
      <c r="N49" s="6"/>
      <c r="O49" s="6"/>
      <c r="P49" s="6"/>
      <c r="Q49" s="6"/>
      <c r="R49" s="6"/>
      <c r="S49" s="6"/>
      <c r="T49" s="6"/>
      <c r="U49" s="6"/>
      <c r="AI49"/>
      <c r="AM49" s="81" t="s">
        <v>170</v>
      </c>
      <c r="AN49" s="81"/>
      <c r="AO49" s="224">
        <f t="shared" ref="AO49:AT49" si="20">SUM(AO38:AO48)</f>
        <v>0</v>
      </c>
      <c r="AP49" s="224">
        <f t="shared" si="20"/>
        <v>0</v>
      </c>
      <c r="AQ49" s="224">
        <f t="shared" si="20"/>
        <v>0</v>
      </c>
      <c r="AR49" s="224">
        <f t="shared" si="20"/>
        <v>0</v>
      </c>
      <c r="AS49" s="224">
        <f t="shared" si="20"/>
        <v>0</v>
      </c>
      <c r="AT49" s="224">
        <f t="shared" si="20"/>
        <v>0</v>
      </c>
    </row>
    <row r="50" spans="3:46" ht="15">
      <c r="C50" s="20" t="s">
        <v>288</v>
      </c>
      <c r="D50" s="130">
        <v>50</v>
      </c>
      <c r="E50" s="140">
        <v>0</v>
      </c>
      <c r="F50" s="20" t="s">
        <v>289</v>
      </c>
      <c r="G50" s="130" t="s">
        <v>295</v>
      </c>
      <c r="H50" s="315"/>
      <c r="I50" s="315"/>
      <c r="J50" s="315"/>
      <c r="M50" s="6"/>
      <c r="N50" s="6"/>
      <c r="O50" s="6"/>
      <c r="P50" s="6"/>
      <c r="Q50" s="6"/>
      <c r="R50" s="6"/>
      <c r="S50" s="6"/>
      <c r="T50" s="6"/>
      <c r="U50" s="6"/>
      <c r="V50" s="158" t="s">
        <v>291</v>
      </c>
      <c r="W50" s="159"/>
      <c r="X50" s="159"/>
      <c r="Y50" s="159"/>
      <c r="Z50" s="159"/>
      <c r="AA50" s="160"/>
      <c r="AE50" s="219" t="s">
        <v>292</v>
      </c>
      <c r="AF50" s="219"/>
      <c r="AI50" s="9" t="str">
        <f ca="1">AJ34&amp;" "&amp;AK34</f>
        <v xml:space="preserve">0 arbeidsplasser, </v>
      </c>
      <c r="AJ50" s="2" t="str">
        <f ca="1">IF(AJ34=0,"",AI50)</f>
        <v/>
      </c>
      <c r="AM50" s="225" t="s">
        <v>293</v>
      </c>
      <c r="AN50" s="225"/>
      <c r="AO50" s="226">
        <f>AO49*$AM$36*Utslippsdata!$C$76/1000</f>
        <v>0</v>
      </c>
      <c r="AP50" s="226">
        <f>AP49*$AM$36*Utslippsdata!$C$76/1000</f>
        <v>0</v>
      </c>
      <c r="AQ50" s="226">
        <f>AQ49*$AM$36*Utslippsdata!$C$76/1000</f>
        <v>0</v>
      </c>
      <c r="AR50" s="226">
        <f>AR49*$AM$36*Utslippsdata!$C$76/1000</f>
        <v>0</v>
      </c>
      <c r="AS50" s="226">
        <f>AS49*$AM$36*Utslippsdata!$C$76/1000</f>
        <v>0</v>
      </c>
      <c r="AT50" s="226">
        <f>AT49*$AM$36*Utslippsdata!$C$76/1000</f>
        <v>0</v>
      </c>
    </row>
    <row r="51" spans="3:46">
      <c r="C51" s="20" t="s">
        <v>294</v>
      </c>
      <c r="D51" s="130">
        <v>50</v>
      </c>
      <c r="E51" s="140">
        <v>0</v>
      </c>
      <c r="F51" s="20" t="s">
        <v>289</v>
      </c>
      <c r="G51" s="130" t="s">
        <v>295</v>
      </c>
      <c r="H51" s="312"/>
      <c r="I51" s="313"/>
      <c r="J51" s="314"/>
      <c r="N51" s="6"/>
      <c r="V51" s="227">
        <v>1</v>
      </c>
      <c r="W51" s="227">
        <v>2</v>
      </c>
      <c r="X51" s="227">
        <v>3</v>
      </c>
      <c r="Y51" s="227">
        <v>4</v>
      </c>
      <c r="Z51" s="227">
        <v>5</v>
      </c>
      <c r="AE51" s="9">
        <f>D60*(Utslippsdata!C133+Utslippsdata!$C$136)</f>
        <v>0</v>
      </c>
      <c r="AF51" s="9" t="s">
        <v>271</v>
      </c>
      <c r="AI51" s="9" t="str">
        <f ca="1">AJ36&amp;" "&amp;AK36</f>
        <v xml:space="preserve">0 elevplasser, </v>
      </c>
      <c r="AJ51" s="2" t="str">
        <f ca="1">IF(AJ36=0,"",AI51)</f>
        <v/>
      </c>
    </row>
    <row r="52" spans="3:46">
      <c r="C52" s="19"/>
      <c r="D52" s="19"/>
      <c r="E52" s="19"/>
      <c r="F52" s="19"/>
      <c r="G52" s="19"/>
      <c r="H52" s="19"/>
      <c r="I52" s="19"/>
      <c r="J52" s="19"/>
      <c r="N52" s="6"/>
      <c r="V52" s="228" t="s">
        <v>284</v>
      </c>
      <c r="W52" s="228"/>
      <c r="AE52" s="9">
        <f>D61*(Utslippsdata!C134+Utslippsdata!$C$136)</f>
        <v>0</v>
      </c>
      <c r="AF52" s="9" t="s">
        <v>271</v>
      </c>
      <c r="AI52" s="9" t="str">
        <f ca="1">AJ38&amp;" "&amp;AK38</f>
        <v xml:space="preserve">0 beboere på sykehjem, </v>
      </c>
      <c r="AJ52" s="2" t="str">
        <f ca="1">IF(AJ38=0,"",AI52)</f>
        <v/>
      </c>
    </row>
    <row r="53" spans="3:46">
      <c r="C53" s="51" t="s">
        <v>296</v>
      </c>
      <c r="D53" s="51" t="s">
        <v>64</v>
      </c>
      <c r="E53" s="51" t="s">
        <v>172</v>
      </c>
      <c r="F53" s="212" t="s">
        <v>93</v>
      </c>
      <c r="G53" s="213"/>
      <c r="H53" s="213"/>
      <c r="I53" s="213"/>
      <c r="J53" s="169"/>
      <c r="N53" s="6"/>
      <c r="V53" s="9" t="s">
        <v>295</v>
      </c>
      <c r="W53" s="9"/>
      <c r="Z53" s="229">
        <f>Z54</f>
        <v>0.13887096774193547</v>
      </c>
      <c r="AA53" s="9" t="s">
        <v>297</v>
      </c>
      <c r="AE53" s="9">
        <f>D62*(Utslippsdata!C135+Utslippsdata!$C$136)</f>
        <v>0</v>
      </c>
      <c r="AF53" s="9" t="s">
        <v>271</v>
      </c>
      <c r="AI53" s="9" t="str">
        <f ca="1">AJ40&amp;" "&amp;AK40</f>
        <v xml:space="preserve">0 plasser for barn, </v>
      </c>
      <c r="AJ53" s="2" t="str">
        <f ca="1">IF(AJ40=0,"",AI53)</f>
        <v/>
      </c>
    </row>
    <row r="54" spans="3:46">
      <c r="C54" s="20" t="s">
        <v>298</v>
      </c>
      <c r="D54" s="130"/>
      <c r="E54" s="130" t="s">
        <v>239</v>
      </c>
      <c r="F54" s="312"/>
      <c r="G54" s="313"/>
      <c r="H54" s="313"/>
      <c r="I54" s="313"/>
      <c r="J54" s="314"/>
      <c r="N54" s="6"/>
      <c r="V54" s="9" t="s">
        <v>299</v>
      </c>
      <c r="W54" s="9">
        <v>2.87</v>
      </c>
      <c r="X54" s="2" t="s">
        <v>300</v>
      </c>
      <c r="Z54" s="79">
        <f>W59*W54/W58</f>
        <v>0.13887096774193547</v>
      </c>
      <c r="AA54" s="9" t="s">
        <v>297</v>
      </c>
      <c r="AE54" s="9">
        <f>D63*Utslippsdata!C136</f>
        <v>0</v>
      </c>
      <c r="AF54" s="9" t="s">
        <v>271</v>
      </c>
      <c r="AI54" s="9" t="str">
        <f ca="1">AJ41&amp;" "&amp;AK41</f>
        <v xml:space="preserve">0 besøkende pr år, </v>
      </c>
      <c r="AJ54" s="2" t="str">
        <f ca="1">IF(AJ41=0,"",AI54)</f>
        <v/>
      </c>
    </row>
    <row r="55" spans="3:46">
      <c r="C55" s="20" t="s">
        <v>301</v>
      </c>
      <c r="D55" s="130"/>
      <c r="E55" s="130" t="s">
        <v>239</v>
      </c>
      <c r="F55" s="312"/>
      <c r="G55" s="313"/>
      <c r="H55" s="313"/>
      <c r="I55" s="313"/>
      <c r="J55" s="314"/>
      <c r="N55" s="6"/>
      <c r="V55" s="9" t="s">
        <v>290</v>
      </c>
      <c r="W55" s="9"/>
      <c r="Z55" s="79">
        <f>W59*W60*Utslippsdata!C78/W58</f>
        <v>5.0112597937020005E-3</v>
      </c>
      <c r="AA55" s="9" t="s">
        <v>297</v>
      </c>
      <c r="AE55" s="9">
        <f>D64*Utslippsdata!C140</f>
        <v>0</v>
      </c>
      <c r="AF55" s="9" t="s">
        <v>271</v>
      </c>
      <c r="AI55" s="9" t="str">
        <f ca="1">AJ42&amp;" "&amp;AK42</f>
        <v xml:space="preserve">0 hotellsenger, </v>
      </c>
      <c r="AJ55" s="2" t="str">
        <f ca="1">IF(AJ42=0,"",AI55)</f>
        <v/>
      </c>
    </row>
    <row r="56" spans="3:46">
      <c r="C56" s="20" t="s">
        <v>302</v>
      </c>
      <c r="D56" s="130"/>
      <c r="E56" s="130" t="s">
        <v>239</v>
      </c>
      <c r="F56" s="312"/>
      <c r="G56" s="313"/>
      <c r="H56" s="313"/>
      <c r="I56" s="313"/>
      <c r="J56" s="314"/>
      <c r="N56" s="6"/>
      <c r="V56" s="9" t="s">
        <v>303</v>
      </c>
      <c r="W56" s="9">
        <v>1.462518</v>
      </c>
      <c r="X56" s="2" t="s">
        <v>304</v>
      </c>
      <c r="Z56" s="79">
        <f>W61*W63*W56/W58</f>
        <v>7.2654119999999989E-2</v>
      </c>
      <c r="AA56" s="9" t="s">
        <v>297</v>
      </c>
      <c r="AE56" s="9">
        <f>D65*Utslippsdata!C141</f>
        <v>0</v>
      </c>
      <c r="AF56" s="9" t="s">
        <v>271</v>
      </c>
      <c r="AI56" s="230" t="str">
        <f ca="1">AJ48&amp;" "&amp;AK48</f>
        <v xml:space="preserve">0 bosatte, </v>
      </c>
      <c r="AJ56" s="2" t="str">
        <f ca="1">IF(AJ48=0,"",AI56)</f>
        <v/>
      </c>
      <c r="AN56" s="158" t="s">
        <v>305</v>
      </c>
      <c r="AO56" s="159"/>
      <c r="AP56" s="159"/>
      <c r="AQ56" s="159"/>
      <c r="AR56" s="160"/>
    </row>
    <row r="57" spans="3:46">
      <c r="C57" s="20" t="s">
        <v>306</v>
      </c>
      <c r="D57" s="130"/>
      <c r="E57" s="130" t="s">
        <v>239</v>
      </c>
      <c r="F57" s="312"/>
      <c r="G57" s="313"/>
      <c r="H57" s="313"/>
      <c r="I57" s="313"/>
      <c r="J57" s="314"/>
      <c r="N57" s="6"/>
      <c r="AE57" s="9">
        <f>D66*Utslippsdata!C142</f>
        <v>0</v>
      </c>
      <c r="AF57" s="9" t="s">
        <v>271</v>
      </c>
      <c r="AI57" s="81" t="str">
        <f ca="1">AJ50&amp;AJ51&amp;AJ52&amp;AJ53&amp;AJ54&amp;AJ55&amp;AJ56</f>
        <v/>
      </c>
      <c r="AJ57" s="81"/>
    </row>
    <row r="58" spans="3:46" ht="15">
      <c r="C58" s="19"/>
      <c r="D58" s="19"/>
      <c r="E58" s="19"/>
      <c r="F58" s="19"/>
      <c r="G58" s="19"/>
      <c r="H58" s="19"/>
      <c r="I58" s="19"/>
      <c r="J58" s="19"/>
      <c r="N58" s="6"/>
      <c r="V58" s="9" t="s">
        <v>307</v>
      </c>
      <c r="W58" s="9">
        <v>9.3000000000000007</v>
      </c>
      <c r="X58" s="9" t="s">
        <v>308</v>
      </c>
      <c r="AE58" s="24">
        <f>SUM(AE51:AE57)/1000</f>
        <v>0</v>
      </c>
      <c r="AF58" s="24" t="s">
        <v>223</v>
      </c>
      <c r="AI58" s="81">
        <f ca="1">AJ34+AJ36+AJ38+AJ40+AJ41+AJ42+AJ48</f>
        <v>0</v>
      </c>
      <c r="AJ58" s="81" t="s">
        <v>309</v>
      </c>
    </row>
    <row r="59" spans="3:46">
      <c r="C59" s="51" t="s">
        <v>310</v>
      </c>
      <c r="D59" s="51" t="s">
        <v>311</v>
      </c>
      <c r="E59" s="51" t="s">
        <v>172</v>
      </c>
      <c r="F59" s="212" t="s">
        <v>93</v>
      </c>
      <c r="G59" s="213"/>
      <c r="H59" s="213"/>
      <c r="I59" s="213"/>
      <c r="J59" s="169"/>
      <c r="N59" s="6"/>
      <c r="V59" s="9" t="s">
        <v>312</v>
      </c>
      <c r="W59" s="9">
        <f>0.45</f>
        <v>0.45</v>
      </c>
      <c r="X59" s="9" t="s">
        <v>313</v>
      </c>
      <c r="Y59" s="9" t="s">
        <v>314</v>
      </c>
      <c r="Z59" s="9" t="s">
        <v>315</v>
      </c>
    </row>
    <row r="60" spans="3:46">
      <c r="C60" s="20" t="s">
        <v>316</v>
      </c>
      <c r="D60" s="130"/>
      <c r="E60" s="130" t="s">
        <v>239</v>
      </c>
      <c r="F60" s="312"/>
      <c r="G60" s="313"/>
      <c r="H60" s="313"/>
      <c r="I60" s="313"/>
      <c r="J60" s="314"/>
      <c r="N60" s="6"/>
      <c r="V60" s="9" t="s">
        <v>317</v>
      </c>
      <c r="W60" s="9">
        <v>4.2888888888888896</v>
      </c>
      <c r="X60" s="9" t="s">
        <v>318</v>
      </c>
      <c r="Y60" s="9"/>
      <c r="Z60" s="9"/>
    </row>
    <row r="61" spans="3:46">
      <c r="C61" s="20" t="s">
        <v>319</v>
      </c>
      <c r="D61" s="130"/>
      <c r="E61" s="130" t="s">
        <v>239</v>
      </c>
      <c r="F61" s="312"/>
      <c r="G61" s="313"/>
      <c r="H61" s="313"/>
      <c r="I61" s="313"/>
      <c r="J61" s="314"/>
      <c r="N61" s="6"/>
      <c r="V61" s="9" t="s">
        <v>320</v>
      </c>
      <c r="W61" s="9">
        <v>0.7</v>
      </c>
      <c r="X61" s="9" t="s">
        <v>321</v>
      </c>
      <c r="Y61" s="9" t="s">
        <v>322</v>
      </c>
      <c r="Z61" s="9" t="s">
        <v>323</v>
      </c>
    </row>
    <row r="62" spans="3:46">
      <c r="C62" s="20" t="s">
        <v>324</v>
      </c>
      <c r="D62" s="130"/>
      <c r="E62" s="130" t="s">
        <v>239</v>
      </c>
      <c r="F62" s="312"/>
      <c r="G62" s="313"/>
      <c r="H62" s="313"/>
      <c r="I62" s="313"/>
      <c r="J62" s="314"/>
      <c r="N62" s="6"/>
      <c r="V62" s="9" t="s">
        <v>320</v>
      </c>
      <c r="W62" s="9">
        <f>623251/1080000</f>
        <v>0.57708425925925921</v>
      </c>
      <c r="X62" s="9" t="s">
        <v>321</v>
      </c>
      <c r="Y62" s="9" t="s">
        <v>325</v>
      </c>
      <c r="Z62" s="9"/>
    </row>
    <row r="63" spans="3:46">
      <c r="C63" s="20" t="s">
        <v>326</v>
      </c>
      <c r="D63" s="130"/>
      <c r="E63" s="130" t="s">
        <v>239</v>
      </c>
      <c r="F63" s="312"/>
      <c r="G63" s="313"/>
      <c r="H63" s="313"/>
      <c r="I63" s="313"/>
      <c r="J63" s="314"/>
      <c r="N63" s="6"/>
      <c r="V63" s="9" t="s">
        <v>303</v>
      </c>
      <c r="W63" s="9">
        <v>0.66</v>
      </c>
      <c r="X63" s="9" t="s">
        <v>327</v>
      </c>
      <c r="Y63" s="9" t="s">
        <v>325</v>
      </c>
      <c r="Z63" s="9"/>
      <c r="AI63" s="2" t="str">
        <f>AJ47&amp;" "&amp;AK47</f>
        <v xml:space="preserve"> </v>
      </c>
    </row>
    <row r="64" spans="3:46">
      <c r="C64" s="20" t="s">
        <v>328</v>
      </c>
      <c r="D64" s="130"/>
      <c r="E64" s="130" t="s">
        <v>309</v>
      </c>
      <c r="F64" s="312"/>
      <c r="G64" s="313"/>
      <c r="H64" s="313"/>
      <c r="I64" s="313"/>
      <c r="J64" s="314"/>
      <c r="N64" s="6"/>
    </row>
    <row r="65" spans="3:38">
      <c r="C65" s="20" t="s">
        <v>329</v>
      </c>
      <c r="D65" s="130"/>
      <c r="E65" s="130" t="s">
        <v>309</v>
      </c>
      <c r="F65" s="312"/>
      <c r="G65" s="313"/>
      <c r="H65" s="313"/>
      <c r="I65" s="313"/>
      <c r="J65" s="314"/>
      <c r="N65" s="6"/>
      <c r="V65" s="407" t="s">
        <v>330</v>
      </c>
      <c r="W65" s="407"/>
      <c r="X65" s="407"/>
      <c r="Y65" s="407"/>
      <c r="Z65" s="407"/>
    </row>
    <row r="66" spans="3:38">
      <c r="C66" s="20" t="s">
        <v>331</v>
      </c>
      <c r="D66" s="130"/>
      <c r="E66" s="130" t="s">
        <v>309</v>
      </c>
      <c r="F66" s="312"/>
      <c r="G66" s="313"/>
      <c r="H66" s="313"/>
      <c r="I66" s="313"/>
      <c r="J66" s="314"/>
      <c r="N66" s="6"/>
      <c r="V66" s="9" t="s">
        <v>332</v>
      </c>
      <c r="W66" s="9" t="s">
        <v>333</v>
      </c>
      <c r="X66" s="9" t="s">
        <v>65</v>
      </c>
      <c r="Y66" s="9" t="s">
        <v>334</v>
      </c>
      <c r="Z66" s="9"/>
    </row>
    <row r="67" spans="3:38">
      <c r="G67" s="337"/>
      <c r="H67" s="337"/>
      <c r="I67" s="337"/>
      <c r="J67" s="337"/>
      <c r="N67" s="6"/>
      <c r="V67" s="9">
        <v>50</v>
      </c>
      <c r="W67" s="9">
        <v>2</v>
      </c>
      <c r="X67" s="14">
        <f>E50*V67*W67*Z54/1000</f>
        <v>0</v>
      </c>
      <c r="Y67" s="14">
        <f>E50*D50*W67*VLOOKUP(G50,$V$53:$Z$56,$Z$51,FALSE)/1000</f>
        <v>0</v>
      </c>
      <c r="Z67" s="9" t="s">
        <v>335</v>
      </c>
    </row>
    <row r="68" spans="3:38" hidden="1">
      <c r="G68" s="337"/>
      <c r="H68" s="337"/>
      <c r="I68" s="337"/>
      <c r="J68" s="337"/>
      <c r="V68" s="9">
        <v>50</v>
      </c>
      <c r="W68" s="9">
        <v>2</v>
      </c>
      <c r="X68" s="14">
        <f>E51*V68*W68*Z54/1000</f>
        <v>0</v>
      </c>
      <c r="Y68" s="14">
        <f>E51*D51*W68*VLOOKUP(G51,$V$53:$Z$56,$Z$51,FALSE)/1000</f>
        <v>0</v>
      </c>
      <c r="Z68" s="9" t="s">
        <v>335</v>
      </c>
    </row>
    <row r="69" spans="3:38" hidden="1">
      <c r="G69" s="337"/>
      <c r="H69" s="337"/>
      <c r="I69" s="337"/>
      <c r="J69" s="337"/>
      <c r="X69" s="231">
        <f>X67+X68</f>
        <v>0</v>
      </c>
      <c r="Y69" s="231">
        <f>Y67+Y68</f>
        <v>0</v>
      </c>
      <c r="Z69" s="9" t="s">
        <v>335</v>
      </c>
    </row>
    <row r="70" spans="3:38" hidden="1"/>
    <row r="71" spans="3:38" hidden="1"/>
    <row r="72" spans="3:38" hidden="1"/>
    <row r="73" spans="3:38" hidden="1"/>
    <row r="74" spans="3:38" hidden="1"/>
    <row r="75" spans="3:38" hidden="1"/>
    <row r="76" spans="3:38" ht="25.5">
      <c r="C76" s="53" t="s">
        <v>433</v>
      </c>
    </row>
    <row r="78" spans="3:38" ht="15" customHeight="1">
      <c r="C78" s="360" t="s">
        <v>337</v>
      </c>
      <c r="D78" s="338" t="str">
        <f>"Tonn CO2 ekv, "&amp;VLOOKUP('Generelt om prosjektet'!C25,'Generelt om prosjektet'!W25:X28,2,FALSE)&amp;". Klimagassutslippene er oppgit uten hensyn til binding av biogent karbon."</f>
        <v>Tonn CO2 ekv, GWP. Klimagassutslippene er oppgit uten hensyn til binding av biogent karbon.</v>
      </c>
      <c r="E78" s="339"/>
      <c r="F78" s="339"/>
      <c r="G78" s="339"/>
      <c r="H78" s="329" t="s">
        <v>338</v>
      </c>
      <c r="I78" s="232" t="s">
        <v>93</v>
      </c>
      <c r="J78" s="233"/>
      <c r="K78" s="233"/>
      <c r="L78" s="234"/>
      <c r="V78" s="6" t="s">
        <v>339</v>
      </c>
    </row>
    <row r="79" spans="3:38" ht="45" customHeight="1">
      <c r="C79" s="361"/>
      <c r="D79" s="151" t="s">
        <v>340</v>
      </c>
      <c r="E79" s="235" t="s">
        <v>341</v>
      </c>
      <c r="F79" s="235" t="s">
        <v>342</v>
      </c>
      <c r="G79" s="236" t="s">
        <v>170</v>
      </c>
      <c r="H79" s="330"/>
      <c r="I79" s="237"/>
      <c r="J79" s="238"/>
      <c r="K79" s="238"/>
      <c r="L79" s="239"/>
      <c r="V79" s="8" t="s">
        <v>65</v>
      </c>
      <c r="W79" s="8" t="s">
        <v>343</v>
      </c>
      <c r="X79" s="8" t="s">
        <v>344</v>
      </c>
      <c r="Y79" s="8" t="s">
        <v>345</v>
      </c>
      <c r="Z79" s="8" t="s">
        <v>346</v>
      </c>
      <c r="AA79" s="5" t="s">
        <v>614</v>
      </c>
    </row>
    <row r="80" spans="3:38" ht="30" customHeight="1">
      <c r="C80" s="152" t="s">
        <v>347</v>
      </c>
      <c r="D80" s="240"/>
      <c r="E80" s="140"/>
      <c r="F80" s="241"/>
      <c r="G80" s="242">
        <f>E80</f>
        <v>0</v>
      </c>
      <c r="H80" s="243">
        <f>IF(G93=0,0,IF(G80=0,0.1,G80))</f>
        <v>0</v>
      </c>
      <c r="I80" s="334"/>
      <c r="J80" s="335"/>
      <c r="K80" s="335"/>
      <c r="L80" s="336"/>
      <c r="U80" s="62">
        <f>G80</f>
        <v>0</v>
      </c>
      <c r="V80" s="244">
        <f>SUM(BB19:BB24)/1000</f>
        <v>0</v>
      </c>
      <c r="W80" s="245" t="s">
        <v>348</v>
      </c>
      <c r="X80" s="9" t="s">
        <v>349</v>
      </c>
      <c r="Y80" s="245" t="s">
        <v>350</v>
      </c>
      <c r="Z80" s="9" t="s">
        <v>349</v>
      </c>
      <c r="AH80" s="15" t="s">
        <v>32</v>
      </c>
      <c r="AI80" s="14">
        <f>G80</f>
        <v>0</v>
      </c>
      <c r="AJ80" s="100">
        <f>V80</f>
        <v>0</v>
      </c>
      <c r="AK80" s="78">
        <f>IFERROR(AI80/AJ80,0)</f>
        <v>0</v>
      </c>
      <c r="AL80" s="9"/>
    </row>
    <row r="81" spans="3:38" ht="15" customHeight="1">
      <c r="C81" s="214" t="s">
        <v>351</v>
      </c>
      <c r="D81" s="140"/>
      <c r="E81" s="140"/>
      <c r="F81" s="240"/>
      <c r="G81" s="242">
        <f>D81+E81</f>
        <v>0</v>
      </c>
      <c r="H81" s="246">
        <f>IFERROR(G81/V81,1)</f>
        <v>1</v>
      </c>
      <c r="I81" s="318"/>
      <c r="J81" s="319"/>
      <c r="K81" s="319"/>
      <c r="L81" s="320"/>
      <c r="U81" s="62">
        <f>G81</f>
        <v>0</v>
      </c>
      <c r="V81" s="247">
        <f>(AN25+AS25+AO25+AT25)/1000</f>
        <v>0</v>
      </c>
      <c r="W81" s="248">
        <v>1.1000000000000001</v>
      </c>
      <c r="X81" s="248">
        <v>0.9</v>
      </c>
      <c r="Y81" s="248">
        <v>0.1</v>
      </c>
      <c r="Z81" s="249">
        <v>0</v>
      </c>
      <c r="AH81" s="15" t="s">
        <v>33</v>
      </c>
      <c r="AI81" s="14">
        <f>G81</f>
        <v>0</v>
      </c>
      <c r="AJ81" s="14">
        <f>V81</f>
        <v>0</v>
      </c>
      <c r="AK81" s="78">
        <f>IFERROR(AI81/AJ81,0)</f>
        <v>0</v>
      </c>
      <c r="AL81" s="9"/>
    </row>
    <row r="82" spans="3:38">
      <c r="C82" s="20" t="s">
        <v>352</v>
      </c>
      <c r="D82" s="140"/>
      <c r="E82" s="140"/>
      <c r="F82" s="140"/>
      <c r="G82" s="242">
        <f>D82+E82+F82</f>
        <v>0</v>
      </c>
      <c r="H82" s="246">
        <f>IFERROR(G82/V82,1)</f>
        <v>1</v>
      </c>
      <c r="I82" s="331"/>
      <c r="J82" s="332"/>
      <c r="K82" s="332"/>
      <c r="L82" s="333"/>
      <c r="U82" s="62">
        <f>G82</f>
        <v>0</v>
      </c>
      <c r="V82" s="247">
        <f>(SUM(AN19:AN24)+SUM(AS19:AS24))/1000</f>
        <v>0</v>
      </c>
      <c r="W82" s="248">
        <v>1.1000000000000001</v>
      </c>
      <c r="X82" s="248">
        <v>0.9</v>
      </c>
      <c r="Y82" s="248">
        <v>0.1</v>
      </c>
      <c r="Z82" s="249">
        <v>0</v>
      </c>
      <c r="AA82" s="2">
        <f>SUM(BO19:BO24)/1000</f>
        <v>0</v>
      </c>
      <c r="AH82" s="9" t="s">
        <v>36</v>
      </c>
      <c r="AI82" s="14">
        <f>G82+G83+G89+G92</f>
        <v>0</v>
      </c>
      <c r="AJ82" s="14">
        <f>V82+V83+V89</f>
        <v>0</v>
      </c>
      <c r="AK82" s="78">
        <f>IFERROR(AI82/AJ82,0)</f>
        <v>0</v>
      </c>
      <c r="AL82" s="9"/>
    </row>
    <row r="83" spans="3:38">
      <c r="C83" s="20" t="s">
        <v>353</v>
      </c>
      <c r="D83" s="140"/>
      <c r="E83" s="140"/>
      <c r="F83" s="140"/>
      <c r="G83" s="242">
        <f>D83+E83+F83</f>
        <v>0</v>
      </c>
      <c r="H83" s="246">
        <f>IFERROR(G83/V83,1)</f>
        <v>1</v>
      </c>
      <c r="I83" s="318"/>
      <c r="J83" s="319"/>
      <c r="K83" s="319"/>
      <c r="L83" s="320"/>
      <c r="U83" s="62">
        <f>G83</f>
        <v>0</v>
      </c>
      <c r="V83" s="247">
        <f>(SUM(AO19:AO24)+SUM(AT19:AT24))/1000</f>
        <v>0</v>
      </c>
      <c r="W83" s="248">
        <v>1.1000000000000001</v>
      </c>
      <c r="X83" s="248">
        <v>0.9</v>
      </c>
      <c r="Y83" s="248">
        <v>0.1</v>
      </c>
      <c r="Z83" s="249">
        <v>0</v>
      </c>
      <c r="AH83" s="9" t="s">
        <v>38</v>
      </c>
      <c r="AI83" s="14">
        <f>G84+G85+G86</f>
        <v>0</v>
      </c>
      <c r="AJ83" s="14">
        <f>V84+V85+V86</f>
        <v>0</v>
      </c>
      <c r="AK83" s="78">
        <f>IFERROR((AI83-G85)/AJ83,0)</f>
        <v>0</v>
      </c>
      <c r="AL83" s="9"/>
    </row>
    <row r="84" spans="3:38">
      <c r="C84" s="214" t="s">
        <v>354</v>
      </c>
      <c r="D84" s="140"/>
      <c r="E84" s="140"/>
      <c r="F84" s="140"/>
      <c r="G84" s="242">
        <f>D84+E84+F84</f>
        <v>0</v>
      </c>
      <c r="H84" s="246">
        <f>IFERROR(G84/V84,1)</f>
        <v>1</v>
      </c>
      <c r="I84" s="318"/>
      <c r="J84" s="319"/>
      <c r="K84" s="319"/>
      <c r="L84" s="320"/>
      <c r="U84" s="62">
        <f>G84</f>
        <v>0</v>
      </c>
      <c r="V84" s="247">
        <f>(SUM(AP19:AP25)+SUM(AU19:AU25))/1000</f>
        <v>0</v>
      </c>
      <c r="W84" s="248">
        <v>1.1000000000000001</v>
      </c>
      <c r="X84" s="248">
        <v>0.9</v>
      </c>
      <c r="Y84" s="248">
        <v>0.1</v>
      </c>
      <c r="Z84" s="249">
        <v>0</v>
      </c>
      <c r="AH84" s="9" t="s">
        <v>40</v>
      </c>
      <c r="AI84" s="14">
        <f>G90</f>
        <v>0</v>
      </c>
      <c r="AJ84" s="14">
        <f>V90</f>
        <v>0</v>
      </c>
      <c r="AK84" s="78">
        <f>IFERROR(AI84/AJ84,0)</f>
        <v>0</v>
      </c>
      <c r="AL84" s="9"/>
    </row>
    <row r="85" spans="3:38">
      <c r="C85" s="214" t="s">
        <v>355</v>
      </c>
      <c r="D85" s="365"/>
      <c r="E85" s="366"/>
      <c r="F85" s="367"/>
      <c r="G85" s="242">
        <f>D85</f>
        <v>0</v>
      </c>
      <c r="H85" s="250" t="s">
        <v>349</v>
      </c>
      <c r="I85" s="318"/>
      <c r="J85" s="319"/>
      <c r="K85" s="319"/>
      <c r="L85" s="320"/>
      <c r="U85" s="62"/>
      <c r="V85" s="251"/>
      <c r="AH85" s="9" t="s">
        <v>42</v>
      </c>
      <c r="AI85" s="14">
        <f>G87+G88</f>
        <v>0</v>
      </c>
      <c r="AJ85" s="14">
        <f>V87+V88</f>
        <v>0</v>
      </c>
      <c r="AK85" s="78">
        <f>IFERROR(AI85/AJ85,0)</f>
        <v>0</v>
      </c>
      <c r="AL85" s="9"/>
    </row>
    <row r="86" spans="3:38">
      <c r="C86" s="214" t="s">
        <v>356</v>
      </c>
      <c r="D86" s="409">
        <f>Y69</f>
        <v>0</v>
      </c>
      <c r="E86" s="410"/>
      <c r="F86" s="411"/>
      <c r="G86" s="242">
        <f>D86</f>
        <v>0</v>
      </c>
      <c r="H86" s="246">
        <f>IFERROR(G86/V86,1)</f>
        <v>1</v>
      </c>
      <c r="I86" s="331"/>
      <c r="J86" s="332"/>
      <c r="K86" s="332"/>
      <c r="L86" s="333"/>
      <c r="U86" s="62">
        <f>G86</f>
        <v>0</v>
      </c>
      <c r="V86" s="247">
        <f>X69</f>
        <v>0</v>
      </c>
      <c r="W86" s="248">
        <v>1.1000000000000001</v>
      </c>
      <c r="X86" s="248">
        <v>0.9</v>
      </c>
      <c r="Y86" s="248">
        <v>0</v>
      </c>
      <c r="Z86" s="245" t="s">
        <v>349</v>
      </c>
      <c r="AH86" s="9" t="s">
        <v>44</v>
      </c>
      <c r="AI86" s="14">
        <f>G91</f>
        <v>0</v>
      </c>
      <c r="AJ86" s="14">
        <f>V91</f>
        <v>0</v>
      </c>
      <c r="AK86" s="78">
        <f>IFERROR(AI86/AJ86,0)</f>
        <v>0</v>
      </c>
      <c r="AL86" s="9"/>
    </row>
    <row r="87" spans="3:38" ht="15" customHeight="1">
      <c r="C87" s="214" t="s">
        <v>357</v>
      </c>
      <c r="D87" s="409">
        <f>AE48</f>
        <v>0</v>
      </c>
      <c r="E87" s="410"/>
      <c r="F87" s="411"/>
      <c r="G87" s="242">
        <f t="shared" ref="G87:G93" si="21">D87+E87+F87</f>
        <v>0</v>
      </c>
      <c r="H87" s="316">
        <f>V87</f>
        <v>0</v>
      </c>
      <c r="I87" s="318"/>
      <c r="J87" s="319"/>
      <c r="K87" s="319"/>
      <c r="L87" s="320"/>
      <c r="U87" s="62">
        <f>G87+G88</f>
        <v>0</v>
      </c>
      <c r="V87" s="14">
        <f>(G87+G88)</f>
        <v>0</v>
      </c>
      <c r="W87" s="252" t="s">
        <v>358</v>
      </c>
      <c r="X87" s="252" t="s">
        <v>359</v>
      </c>
      <c r="Y87" s="252" t="s">
        <v>360</v>
      </c>
      <c r="Z87" s="245" t="s">
        <v>349</v>
      </c>
      <c r="AH87" s="9"/>
      <c r="AI87" s="14">
        <f>SUM(AI80:AI86)</f>
        <v>0</v>
      </c>
      <c r="AJ87" s="9"/>
      <c r="AK87" s="78"/>
      <c r="AL87" s="9"/>
    </row>
    <row r="88" spans="3:38" ht="15" customHeight="1">
      <c r="C88" s="214" t="s">
        <v>361</v>
      </c>
      <c r="D88" s="362">
        <f>AE58</f>
        <v>0</v>
      </c>
      <c r="E88" s="363"/>
      <c r="F88" s="364"/>
      <c r="G88" s="242">
        <f t="shared" si="21"/>
        <v>0</v>
      </c>
      <c r="H88" s="317"/>
      <c r="I88" s="334"/>
      <c r="J88" s="335"/>
      <c r="K88" s="335"/>
      <c r="L88" s="336"/>
      <c r="U88" s="62"/>
      <c r="V88" s="14"/>
      <c r="W88" s="252" t="s">
        <v>358</v>
      </c>
      <c r="X88" s="252" t="s">
        <v>359</v>
      </c>
      <c r="Y88" s="252" t="s">
        <v>360</v>
      </c>
      <c r="Z88" s="245" t="s">
        <v>349</v>
      </c>
    </row>
    <row r="89" spans="3:38">
      <c r="C89" s="20" t="str">
        <f>"B2, B4, Drift og vedlikehold, "&amp;'Generelt om prosjektet'!C24&amp;" år"</f>
        <v>B2, B4, Drift og vedlikehold, 50 år</v>
      </c>
      <c r="D89" s="140"/>
      <c r="E89" s="140"/>
      <c r="F89" s="140"/>
      <c r="G89" s="242">
        <f t="shared" si="21"/>
        <v>0</v>
      </c>
      <c r="H89" s="246">
        <f>IFERROR(G89/V89,1)</f>
        <v>1</v>
      </c>
      <c r="I89" s="331"/>
      <c r="J89" s="332"/>
      <c r="K89" s="332"/>
      <c r="L89" s="333"/>
      <c r="U89" s="62">
        <f>G89</f>
        <v>0</v>
      </c>
      <c r="V89" s="247">
        <f>(SUM(AQ19:AQ24)+SUM(AV19:AV24))/1000</f>
        <v>0</v>
      </c>
      <c r="W89" s="248">
        <v>1.1000000000000001</v>
      </c>
      <c r="X89" s="248">
        <v>0.9</v>
      </c>
      <c r="Y89" s="248">
        <v>0.1</v>
      </c>
      <c r="Z89" s="249">
        <v>0</v>
      </c>
    </row>
    <row r="90" spans="3:38">
      <c r="C90" s="20" t="str">
        <f>"B6: Energi i drift, "&amp;'Generelt om prosjektet'!C24&amp;" år"</f>
        <v>B6: Energi i drift, 50 år</v>
      </c>
      <c r="D90" s="362">
        <f>SUM(AF36:AF39)</f>
        <v>0</v>
      </c>
      <c r="E90" s="363"/>
      <c r="F90" s="364"/>
      <c r="G90" s="242">
        <f t="shared" si="21"/>
        <v>0</v>
      </c>
      <c r="H90" s="246">
        <f>IFERROR(G90/V90,1)</f>
        <v>1</v>
      </c>
      <c r="I90" s="318"/>
      <c r="J90" s="319"/>
      <c r="K90" s="319"/>
      <c r="L90" s="320"/>
      <c r="U90" s="62">
        <f>G90</f>
        <v>0</v>
      </c>
      <c r="V90" s="247">
        <f>AQ50</f>
        <v>0</v>
      </c>
      <c r="W90" s="248">
        <v>1.1000000000000001</v>
      </c>
      <c r="X90" s="248">
        <v>0.9</v>
      </c>
      <c r="Y90" s="248">
        <v>0.1</v>
      </c>
      <c r="Z90" s="249">
        <v>0</v>
      </c>
    </row>
    <row r="91" spans="3:38">
      <c r="C91" s="214" t="s">
        <v>362</v>
      </c>
      <c r="D91" s="143"/>
      <c r="E91" s="143"/>
      <c r="F91" s="143"/>
      <c r="G91" s="242">
        <f t="shared" si="21"/>
        <v>0</v>
      </c>
      <c r="H91" s="246">
        <f>IFERROR(G91/V91,1)</f>
        <v>1</v>
      </c>
      <c r="I91" s="318"/>
      <c r="J91" s="319"/>
      <c r="K91" s="319"/>
      <c r="L91" s="320"/>
      <c r="U91" s="62">
        <f>G91</f>
        <v>0</v>
      </c>
      <c r="V91" s="247">
        <f>(SUM(AR19:AR25)+SUM(AW19:AW25))/1000</f>
        <v>0</v>
      </c>
      <c r="W91" s="248">
        <v>1.1000000000000001</v>
      </c>
      <c r="X91" s="248">
        <v>0.9</v>
      </c>
      <c r="Y91" s="248">
        <v>0.4</v>
      </c>
      <c r="Z91" s="249">
        <v>0</v>
      </c>
    </row>
    <row r="92" spans="3:38">
      <c r="C92" s="214" t="s">
        <v>363</v>
      </c>
      <c r="D92" s="241">
        <f>IF(E44=Nei,AF40,0)</f>
        <v>0</v>
      </c>
      <c r="E92" s="241"/>
      <c r="F92" s="241"/>
      <c r="G92" s="242">
        <f t="shared" si="21"/>
        <v>0</v>
      </c>
      <c r="H92" s="253" t="s">
        <v>349</v>
      </c>
      <c r="I92" s="318"/>
      <c r="J92" s="319"/>
      <c r="K92" s="319"/>
      <c r="L92" s="320"/>
      <c r="U92" s="62"/>
      <c r="V92" s="251"/>
      <c r="W92" s="254"/>
      <c r="X92" s="254"/>
      <c r="Y92" s="254"/>
    </row>
    <row r="93" spans="3:38">
      <c r="C93" s="255" t="s">
        <v>364</v>
      </c>
      <c r="D93" s="256">
        <f>SUM(D80:D92)</f>
        <v>0</v>
      </c>
      <c r="E93" s="256">
        <f>SUM(E80:E92)</f>
        <v>0</v>
      </c>
      <c r="F93" s="256">
        <f>SUM(F80:F92)</f>
        <v>0</v>
      </c>
      <c r="G93" s="256">
        <f t="shared" si="21"/>
        <v>0</v>
      </c>
      <c r="H93" s="257">
        <f>IFERROR(U93/V93,0)</f>
        <v>0</v>
      </c>
      <c r="I93" s="357"/>
      <c r="J93" s="358"/>
      <c r="K93" s="358"/>
      <c r="L93" s="359"/>
      <c r="U93" s="224">
        <f>SUM(U80:U92)</f>
        <v>0</v>
      </c>
      <c r="V93" s="224">
        <f>SUM(V80:V92)</f>
        <v>0</v>
      </c>
    </row>
    <row r="94" spans="3:38">
      <c r="C94" s="19"/>
      <c r="D94" s="19"/>
      <c r="E94" s="19"/>
      <c r="F94" s="19"/>
      <c r="G94" s="19"/>
      <c r="H94" s="19"/>
      <c r="I94" s="19"/>
      <c r="J94" s="19"/>
      <c r="K94" s="19"/>
      <c r="L94" s="19"/>
    </row>
    <row r="95" spans="3:38">
      <c r="C95" s="19"/>
      <c r="D95" s="19"/>
      <c r="E95" s="19"/>
      <c r="F95" s="19"/>
      <c r="G95" s="19"/>
      <c r="H95" s="19"/>
      <c r="I95" s="19"/>
      <c r="J95" s="19"/>
      <c r="K95" s="19"/>
      <c r="L95" s="19"/>
    </row>
    <row r="96" spans="3:38">
      <c r="C96" s="354" t="s">
        <v>365</v>
      </c>
      <c r="D96" s="338" t="str">
        <f>D78</f>
        <v>Tonn CO2 ekv, GWP. Klimagassutslippene er oppgit uten hensyn til binding av biogent karbon.</v>
      </c>
      <c r="E96" s="339"/>
      <c r="F96" s="339"/>
      <c r="G96" s="339"/>
      <c r="H96" s="356"/>
      <c r="I96" s="232" t="s">
        <v>93</v>
      </c>
      <c r="J96" s="258"/>
      <c r="K96" s="233"/>
      <c r="L96" s="234"/>
    </row>
    <row r="97" spans="3:24" ht="30" customHeight="1">
      <c r="C97" s="355"/>
      <c r="D97" s="151" t="s">
        <v>340</v>
      </c>
      <c r="E97" s="235" t="s">
        <v>162</v>
      </c>
      <c r="F97" s="235" t="s">
        <v>163</v>
      </c>
      <c r="G97" s="393" t="s">
        <v>170</v>
      </c>
      <c r="H97" s="394"/>
      <c r="I97" s="237"/>
      <c r="J97" s="259"/>
      <c r="K97" s="238"/>
      <c r="L97" s="239"/>
    </row>
    <row r="98" spans="3:24">
      <c r="C98" s="214" t="s">
        <v>366</v>
      </c>
      <c r="D98" s="340"/>
      <c r="E98" s="342"/>
      <c r="F98" s="241"/>
      <c r="G98" s="395">
        <f>D98</f>
        <v>0</v>
      </c>
      <c r="H98" s="396"/>
      <c r="I98" s="340"/>
      <c r="J98" s="341"/>
      <c r="K98" s="341"/>
      <c r="L98" s="342"/>
    </row>
    <row r="99" spans="3:24" ht="30" customHeight="1">
      <c r="C99" s="20" t="s">
        <v>47</v>
      </c>
      <c r="D99" s="391" t="str">
        <f ca="1">IF(AX32&gt;0,"Beregnet med "&amp;AX32&amp;" års 'restlevetid' til beregningsperioden på "&amp;'Generelt om prosjektet'!C24&amp;" år","")</f>
        <v/>
      </c>
      <c r="E99" s="392"/>
      <c r="F99" s="260">
        <f ca="1">SUM(AX33:BA33)/1000</f>
        <v>0</v>
      </c>
      <c r="G99" s="395">
        <f ca="1">F99</f>
        <v>0</v>
      </c>
      <c r="H99" s="396"/>
      <c r="I99" s="340"/>
      <c r="J99" s="341"/>
      <c r="K99" s="341"/>
      <c r="L99" s="342"/>
    </row>
    <row r="100" spans="3:24">
      <c r="C100" s="408" t="s">
        <v>431</v>
      </c>
      <c r="D100" s="344"/>
      <c r="E100" s="344"/>
      <c r="F100" s="344"/>
      <c r="G100" s="344"/>
      <c r="H100" s="344"/>
      <c r="I100" s="344"/>
      <c r="J100" s="344"/>
      <c r="K100" s="344"/>
      <c r="L100" s="345"/>
    </row>
    <row r="101" spans="3:24">
      <c r="C101" s="346"/>
      <c r="D101" s="347"/>
      <c r="E101" s="347"/>
      <c r="F101" s="347"/>
      <c r="G101" s="347"/>
      <c r="H101" s="347"/>
      <c r="I101" s="347"/>
      <c r="J101" s="347"/>
      <c r="K101" s="347"/>
      <c r="L101" s="348"/>
    </row>
    <row r="102" spans="3:24">
      <c r="C102" s="346"/>
      <c r="D102" s="347"/>
      <c r="E102" s="347"/>
      <c r="F102" s="347"/>
      <c r="G102" s="347"/>
      <c r="H102" s="347"/>
      <c r="I102" s="347"/>
      <c r="J102" s="347"/>
      <c r="K102" s="347"/>
      <c r="L102" s="348"/>
    </row>
    <row r="103" spans="3:24">
      <c r="C103" s="349"/>
      <c r="D103" s="350"/>
      <c r="E103" s="350"/>
      <c r="F103" s="350"/>
      <c r="G103" s="350"/>
      <c r="H103" s="350"/>
      <c r="I103" s="350"/>
      <c r="J103" s="350"/>
      <c r="K103" s="350"/>
      <c r="L103" s="351"/>
    </row>
    <row r="107" spans="3:24" ht="25.5">
      <c r="C107" s="53" t="str">
        <f>"Alternativ 3: Resultat. B6: Energi i drift, "&amp;'Generelt om prosjektet'!C24&amp;" år, ulike utslippsfaktorer for energi"</f>
        <v>Alternativ 3: Resultat. B6: Energi i drift, 50 år, ulike utslippsfaktorer for energi</v>
      </c>
    </row>
    <row r="108" spans="3:24">
      <c r="C108" s="19"/>
      <c r="D108" s="19"/>
      <c r="E108" s="19"/>
      <c r="F108" s="19"/>
      <c r="G108" s="19"/>
      <c r="H108" s="19"/>
      <c r="I108" s="19"/>
    </row>
    <row r="109" spans="3:24">
      <c r="C109" s="19"/>
      <c r="D109" s="311" t="s">
        <v>368</v>
      </c>
      <c r="E109" s="311"/>
      <c r="F109" s="311"/>
      <c r="G109" s="19"/>
      <c r="H109" s="19"/>
      <c r="I109" s="19"/>
    </row>
    <row r="110" spans="3:24" ht="25.5">
      <c r="C110" s="51" t="s">
        <v>369</v>
      </c>
      <c r="D110" s="51" t="s">
        <v>370</v>
      </c>
      <c r="E110" s="51" t="s">
        <v>371</v>
      </c>
      <c r="F110" s="51" t="s">
        <v>372</v>
      </c>
      <c r="G110" s="261" t="str">
        <f>"Beregnet utslipp over "&amp;'Generelt om prosjektet'!C24&amp;" år"</f>
        <v>Beregnet utslipp over 50 år</v>
      </c>
      <c r="H110" s="151" t="s">
        <v>172</v>
      </c>
      <c r="I110" s="19"/>
    </row>
    <row r="111" spans="3:24">
      <c r="C111" s="20" t="s">
        <v>373</v>
      </c>
      <c r="D111" s="262">
        <f>Utslippsdata!C77</f>
        <v>1.7747665114285747E-2</v>
      </c>
      <c r="E111" s="262">
        <f>Utslippsdata!C83</f>
        <v>1.4693376033679371E-2</v>
      </c>
      <c r="F111" s="20">
        <f>E37</f>
        <v>0</v>
      </c>
      <c r="G111" s="242">
        <f>(($W$111+$W$114)*D111+$W$112*E111+$W$113*F111)*$W$115/1000</f>
        <v>0</v>
      </c>
      <c r="H111" s="20" t="s">
        <v>374</v>
      </c>
      <c r="I111" s="19"/>
      <c r="V111" s="9" t="s">
        <v>370</v>
      </c>
      <c r="W111" s="14">
        <f>E34</f>
        <v>0</v>
      </c>
      <c r="X111" s="9" t="s">
        <v>375</v>
      </c>
    </row>
    <row r="112" spans="3:24">
      <c r="C112" s="437" t="s">
        <v>382</v>
      </c>
      <c r="D112" s="438">
        <f>Utslippsdata!C76</f>
        <v>0.10462896495714274</v>
      </c>
      <c r="E112" s="438">
        <f>Utslippsdata!C80</f>
        <v>3.8751119274583641E-2</v>
      </c>
      <c r="F112" s="437">
        <f>E37</f>
        <v>0</v>
      </c>
      <c r="G112" s="439">
        <f>(($W$111+$W$114)*D112+$W$112*E112+$W$113*F112)*$W$115/1000</f>
        <v>0</v>
      </c>
      <c r="H112" s="437" t="s">
        <v>374</v>
      </c>
      <c r="I112" s="19"/>
      <c r="V112" s="9" t="s">
        <v>377</v>
      </c>
      <c r="W112" s="14">
        <f>E35</f>
        <v>0</v>
      </c>
      <c r="X112" s="9" t="s">
        <v>375</v>
      </c>
    </row>
    <row r="113" spans="3:27">
      <c r="C113" s="19"/>
      <c r="D113" s="19"/>
      <c r="E113" s="19"/>
      <c r="F113" s="19"/>
      <c r="G113" s="19"/>
      <c r="H113" s="19"/>
      <c r="I113" s="19"/>
      <c r="V113" s="9" t="s">
        <v>378</v>
      </c>
      <c r="W113" s="14">
        <f>E36</f>
        <v>0</v>
      </c>
      <c r="X113" s="9" t="s">
        <v>375</v>
      </c>
    </row>
    <row r="114" spans="3:27">
      <c r="C114" s="19"/>
      <c r="D114" s="311" t="s">
        <v>368</v>
      </c>
      <c r="E114" s="311"/>
      <c r="F114" s="311"/>
      <c r="G114" s="19"/>
      <c r="H114" s="19"/>
      <c r="I114" s="19"/>
      <c r="V114" s="9" t="s">
        <v>379</v>
      </c>
      <c r="W114" s="14">
        <f>E39</f>
        <v>0</v>
      </c>
      <c r="X114" s="9" t="s">
        <v>375</v>
      </c>
    </row>
    <row r="115" spans="3:27" ht="38.25">
      <c r="C115" s="235" t="s">
        <v>380</v>
      </c>
      <c r="D115" s="51" t="s">
        <v>370</v>
      </c>
      <c r="E115" s="51" t="s">
        <v>371</v>
      </c>
      <c r="F115" s="51" t="s">
        <v>372</v>
      </c>
      <c r="G115" s="261" t="str">
        <f>"Beregnet utslipp over "&amp;'Generelt om prosjektet'!C29&amp;" år"</f>
        <v>Beregnet utslipp over  år</v>
      </c>
      <c r="H115" s="151" t="s">
        <v>172</v>
      </c>
      <c r="I115" s="19"/>
      <c r="V115" s="9" t="s">
        <v>381</v>
      </c>
      <c r="W115" s="9">
        <f>'Generelt om prosjektet'!C24</f>
        <v>50</v>
      </c>
      <c r="X115" s="9"/>
    </row>
    <row r="116" spans="3:27">
      <c r="C116" s="20" t="s">
        <v>373</v>
      </c>
      <c r="D116" s="262">
        <f>D111</f>
        <v>1.7747665114285747E-2</v>
      </c>
      <c r="E116" s="262">
        <f>Utslippsdata!C84</f>
        <v>6.5088487419817986E-2</v>
      </c>
      <c r="F116" s="20">
        <f>E37</f>
        <v>0</v>
      </c>
      <c r="G116" s="242">
        <f>(($W$111+$W$114)*D116+$W$112*E116+$W$113*F116)*$W$115/1000</f>
        <v>0</v>
      </c>
      <c r="H116" s="20" t="s">
        <v>374</v>
      </c>
      <c r="I116" s="19"/>
    </row>
    <row r="117" spans="3:27">
      <c r="C117" s="441" t="s">
        <v>376</v>
      </c>
      <c r="D117" s="442">
        <f>D112</f>
        <v>0.10462896495714274</v>
      </c>
      <c r="E117" s="442">
        <f>Utslippsdata!C81</f>
        <v>8.9146230660722248E-2</v>
      </c>
      <c r="F117" s="441">
        <f>E37</f>
        <v>0</v>
      </c>
      <c r="G117" s="443">
        <f>(($W$111+$W$114)*D117+$W$112*E117+$W$113*F117)*$W$115/1000</f>
        <v>0</v>
      </c>
      <c r="H117" s="441" t="s">
        <v>374</v>
      </c>
      <c r="I117" s="19"/>
    </row>
    <row r="118" spans="3:27">
      <c r="C118" s="19"/>
      <c r="D118" s="19"/>
      <c r="E118" s="19"/>
      <c r="F118" s="19"/>
      <c r="G118" s="19"/>
      <c r="H118" s="19"/>
      <c r="I118" s="19"/>
    </row>
    <row r="119" spans="3:27">
      <c r="C119" s="19"/>
      <c r="D119" s="19"/>
      <c r="E119" s="19"/>
      <c r="F119" s="19"/>
      <c r="G119" s="19"/>
      <c r="H119" s="19"/>
      <c r="I119" s="19"/>
    </row>
    <row r="122" spans="3:27" ht="15" customHeight="1"/>
    <row r="123" spans="3:27" ht="15" customHeight="1"/>
    <row r="124" spans="3:27" ht="15" customHeight="1"/>
    <row r="125" spans="3:27">
      <c r="AA125" s="9" t="s">
        <v>277</v>
      </c>
    </row>
    <row r="126" spans="3:27">
      <c r="AA126" s="9" t="s">
        <v>269</v>
      </c>
    </row>
    <row r="127" spans="3:27" ht="27">
      <c r="C127" s="1" t="s">
        <v>434</v>
      </c>
      <c r="D127" s="12"/>
    </row>
    <row r="128" spans="3:27" ht="15" customHeight="1">
      <c r="C128" s="132" t="s">
        <v>384</v>
      </c>
      <c r="D128" s="147" t="s">
        <v>269</v>
      </c>
    </row>
    <row r="130" spans="3:50" ht="15.75" thickBot="1">
      <c r="C130" s="5" t="s">
        <v>385</v>
      </c>
    </row>
    <row r="131" spans="3:50" ht="128.25">
      <c r="C131" s="263" t="s">
        <v>386</v>
      </c>
      <c r="D131" s="264" t="s">
        <v>347</v>
      </c>
      <c r="E131" s="264" t="s">
        <v>387</v>
      </c>
      <c r="F131" s="264" t="s">
        <v>388</v>
      </c>
      <c r="G131" s="264" t="s">
        <v>177</v>
      </c>
      <c r="H131" s="264" t="s">
        <v>354</v>
      </c>
      <c r="I131" s="264" t="s">
        <v>355</v>
      </c>
      <c r="J131" s="264" t="s">
        <v>356</v>
      </c>
      <c r="K131" s="264" t="s">
        <v>357</v>
      </c>
      <c r="L131" s="264" t="s">
        <v>361</v>
      </c>
      <c r="M131" s="264" t="s">
        <v>635</v>
      </c>
      <c r="N131" s="264" t="s">
        <v>389</v>
      </c>
      <c r="O131" s="264" t="s">
        <v>366</v>
      </c>
      <c r="P131" s="264" t="s">
        <v>180</v>
      </c>
      <c r="Q131" s="264" t="s">
        <v>390</v>
      </c>
      <c r="R131" s="148" t="s">
        <v>391</v>
      </c>
      <c r="S131" s="148" t="s">
        <v>391</v>
      </c>
      <c r="T131" s="148" t="s">
        <v>391</v>
      </c>
      <c r="U131" s="265"/>
      <c r="AK131" s="266">
        <v>1</v>
      </c>
      <c r="AL131" s="267">
        <v>2</v>
      </c>
      <c r="AM131" s="267">
        <v>3</v>
      </c>
      <c r="AN131" s="267">
        <v>4</v>
      </c>
      <c r="AO131" s="267">
        <v>5</v>
      </c>
      <c r="AP131" s="267">
        <v>6</v>
      </c>
      <c r="AQ131" s="267">
        <v>7</v>
      </c>
      <c r="AR131" s="267">
        <v>8</v>
      </c>
      <c r="AS131" s="267">
        <v>9</v>
      </c>
      <c r="AT131" s="267">
        <v>10</v>
      </c>
      <c r="AU131" s="267">
        <v>11</v>
      </c>
      <c r="AV131" s="267">
        <v>12</v>
      </c>
      <c r="AW131" s="267">
        <v>13</v>
      </c>
      <c r="AX131" s="45"/>
    </row>
    <row r="132" spans="3:50">
      <c r="C132" s="9" t="s">
        <v>392</v>
      </c>
      <c r="D132" s="145"/>
      <c r="E132" s="145"/>
      <c r="F132" s="145"/>
      <c r="G132" s="145"/>
      <c r="H132" s="145"/>
      <c r="I132" s="145"/>
      <c r="J132" s="145"/>
      <c r="K132" s="145"/>
      <c r="L132" s="145"/>
      <c r="M132" s="145"/>
      <c r="N132" s="145"/>
      <c r="O132" s="145"/>
      <c r="P132" s="145"/>
      <c r="Q132" s="145"/>
      <c r="R132" s="145"/>
      <c r="S132" s="145"/>
      <c r="T132" s="145"/>
      <c r="U132" s="265"/>
      <c r="AK132" s="46" t="s">
        <v>393</v>
      </c>
      <c r="AL132" s="2" t="s">
        <v>394</v>
      </c>
      <c r="AM132" s="2" t="s">
        <v>165</v>
      </c>
      <c r="AN132" s="2" t="s">
        <v>4</v>
      </c>
      <c r="AO132" s="2" t="s">
        <v>172</v>
      </c>
      <c r="AW132" s="2" t="s">
        <v>395</v>
      </c>
      <c r="AX132" s="47"/>
    </row>
    <row r="133" spans="3:50" ht="15">
      <c r="C133" s="9" t="s">
        <v>396</v>
      </c>
      <c r="D133" s="145"/>
      <c r="E133" s="145"/>
      <c r="F133" s="145"/>
      <c r="G133" s="145"/>
      <c r="H133" s="145"/>
      <c r="I133" s="145"/>
      <c r="J133" s="145"/>
      <c r="K133" s="145"/>
      <c r="L133" s="145"/>
      <c r="M133" s="145"/>
      <c r="N133" s="145"/>
      <c r="O133" s="145"/>
      <c r="P133" s="145"/>
      <c r="Q133" s="145"/>
      <c r="R133" s="145"/>
      <c r="S133" s="145"/>
      <c r="T133" s="145"/>
      <c r="U133" s="265"/>
      <c r="AK133" s="268" t="s">
        <v>188</v>
      </c>
      <c r="AL133" s="9"/>
      <c r="AM133" s="9"/>
      <c r="AN133" s="9"/>
      <c r="AW133" s="5" t="s">
        <v>397</v>
      </c>
      <c r="AX133" s="47"/>
    </row>
    <row r="134" spans="3:50">
      <c r="C134" s="9" t="s">
        <v>398</v>
      </c>
      <c r="D134" s="146"/>
      <c r="E134" s="146"/>
      <c r="F134" s="146"/>
      <c r="G134" s="146"/>
      <c r="H134" s="146"/>
      <c r="I134" s="146"/>
      <c r="J134" s="146"/>
      <c r="K134" s="146"/>
      <c r="L134" s="146"/>
      <c r="M134" s="146"/>
      <c r="N134" s="146"/>
      <c r="O134" s="146"/>
      <c r="P134" s="146"/>
      <c r="Q134" s="146"/>
      <c r="R134" s="146"/>
      <c r="S134" s="146"/>
      <c r="T134" s="146"/>
      <c r="AK134" s="268" t="s">
        <v>183</v>
      </c>
      <c r="AL134" s="9" t="s">
        <v>183</v>
      </c>
      <c r="AM134" s="9" t="s">
        <v>399</v>
      </c>
      <c r="AN134" s="9" t="s">
        <v>216</v>
      </c>
      <c r="AO134" s="269" t="s">
        <v>309</v>
      </c>
      <c r="AW134" s="9" t="s">
        <v>183</v>
      </c>
      <c r="AX134" s="47"/>
    </row>
    <row r="135" spans="3:50">
      <c r="C135" s="9" t="s">
        <v>400</v>
      </c>
      <c r="D135" s="146"/>
      <c r="E135" s="146"/>
      <c r="F135" s="146"/>
      <c r="G135" s="146"/>
      <c r="H135" s="146"/>
      <c r="I135" s="146"/>
      <c r="J135" s="146"/>
      <c r="K135" s="146"/>
      <c r="L135" s="146"/>
      <c r="M135" s="146"/>
      <c r="N135" s="146"/>
      <c r="O135" s="146"/>
      <c r="P135" s="146"/>
      <c r="Q135" s="146"/>
      <c r="R135" s="146"/>
      <c r="S135" s="146"/>
      <c r="T135" s="146"/>
      <c r="AK135" s="268" t="s">
        <v>185</v>
      </c>
      <c r="AL135" s="9" t="s">
        <v>185</v>
      </c>
      <c r="AM135" s="9" t="s">
        <v>401</v>
      </c>
      <c r="AN135" s="9" t="s">
        <v>220</v>
      </c>
      <c r="AO135" s="269" t="s">
        <v>309</v>
      </c>
      <c r="AR135" s="6" t="s">
        <v>402</v>
      </c>
      <c r="AW135" s="9" t="s">
        <v>185</v>
      </c>
      <c r="AX135" s="47"/>
    </row>
    <row r="136" spans="3:50">
      <c r="C136" s="9" t="s">
        <v>403</v>
      </c>
      <c r="D136" s="146"/>
      <c r="E136" s="146"/>
      <c r="F136" s="146"/>
      <c r="G136" s="146"/>
      <c r="H136" s="146"/>
      <c r="I136" s="146"/>
      <c r="J136" s="146"/>
      <c r="K136" s="146"/>
      <c r="L136" s="146"/>
      <c r="M136" s="146"/>
      <c r="N136" s="146"/>
      <c r="O136" s="146"/>
      <c r="P136" s="146"/>
      <c r="Q136" s="146"/>
      <c r="R136" s="146"/>
      <c r="S136" s="146"/>
      <c r="T136" s="146"/>
      <c r="AK136" s="268" t="s">
        <v>262</v>
      </c>
      <c r="AL136" s="9" t="s">
        <v>262</v>
      </c>
      <c r="AM136" s="9" t="s">
        <v>404</v>
      </c>
      <c r="AN136" s="9" t="s">
        <v>224</v>
      </c>
      <c r="AO136" s="269" t="s">
        <v>309</v>
      </c>
      <c r="AW136" s="9" t="s">
        <v>262</v>
      </c>
      <c r="AX136" s="47"/>
    </row>
    <row r="137" spans="3:50">
      <c r="C137" s="9" t="s">
        <v>405</v>
      </c>
      <c r="D137" s="146"/>
      <c r="E137" s="146"/>
      <c r="F137" s="146"/>
      <c r="G137" s="146"/>
      <c r="H137" s="146"/>
      <c r="I137" s="146"/>
      <c r="J137" s="146"/>
      <c r="K137" s="146"/>
      <c r="L137" s="146"/>
      <c r="M137" s="146"/>
      <c r="N137" s="146"/>
      <c r="O137" s="146"/>
      <c r="P137" s="146"/>
      <c r="Q137" s="146"/>
      <c r="R137" s="146"/>
      <c r="S137" s="146"/>
      <c r="T137" s="146"/>
      <c r="AK137" s="268" t="s">
        <v>279</v>
      </c>
      <c r="AL137" s="9" t="s">
        <v>279</v>
      </c>
      <c r="AM137" s="9" t="s">
        <v>406</v>
      </c>
      <c r="AN137" s="9" t="s">
        <v>230</v>
      </c>
      <c r="AO137" s="269"/>
      <c r="AQ137" s="2" t="s">
        <v>407</v>
      </c>
      <c r="AR137" s="2" t="s">
        <v>408</v>
      </c>
      <c r="AS137" s="2" t="s">
        <v>408</v>
      </c>
      <c r="AW137" s="9" t="s">
        <v>279</v>
      </c>
      <c r="AX137" s="47"/>
    </row>
    <row r="138" spans="3:50">
      <c r="C138" s="9" t="s">
        <v>409</v>
      </c>
      <c r="D138" s="146"/>
      <c r="E138" s="146"/>
      <c r="F138" s="146"/>
      <c r="G138" s="146"/>
      <c r="H138" s="146"/>
      <c r="I138" s="146"/>
      <c r="J138" s="146"/>
      <c r="K138" s="146"/>
      <c r="L138" s="146"/>
      <c r="M138" s="146"/>
      <c r="N138" s="146"/>
      <c r="O138" s="146"/>
      <c r="P138" s="146"/>
      <c r="Q138" s="146"/>
      <c r="R138" s="146"/>
      <c r="S138" s="146"/>
      <c r="T138" s="146"/>
      <c r="AK138" s="268" t="s">
        <v>267</v>
      </c>
      <c r="AL138" s="9" t="s">
        <v>267</v>
      </c>
      <c r="AM138" s="9" t="s">
        <v>410</v>
      </c>
      <c r="AN138" s="9" t="s">
        <v>241</v>
      </c>
      <c r="AO138" s="269" t="s">
        <v>309</v>
      </c>
      <c r="AW138" s="9" t="s">
        <v>267</v>
      </c>
      <c r="AX138" s="47"/>
    </row>
    <row r="139" spans="3:50">
      <c r="C139" s="9" t="s">
        <v>411</v>
      </c>
      <c r="D139" s="146"/>
      <c r="E139" s="146"/>
      <c r="F139" s="146"/>
      <c r="G139" s="146"/>
      <c r="H139" s="146"/>
      <c r="I139" s="146"/>
      <c r="J139" s="146"/>
      <c r="K139" s="146"/>
      <c r="L139" s="146"/>
      <c r="M139" s="146"/>
      <c r="N139" s="146"/>
      <c r="O139" s="146"/>
      <c r="P139" s="146"/>
      <c r="Q139" s="146"/>
      <c r="R139" s="146"/>
      <c r="S139" s="146"/>
      <c r="T139" s="146"/>
      <c r="AK139" s="268" t="s">
        <v>243</v>
      </c>
      <c r="AL139" s="9" t="s">
        <v>412</v>
      </c>
      <c r="AM139" s="9" t="s">
        <v>413</v>
      </c>
      <c r="AN139" s="9" t="s">
        <v>248</v>
      </c>
      <c r="AO139" s="269" t="s">
        <v>309</v>
      </c>
      <c r="AW139" s="9" t="s">
        <v>412</v>
      </c>
      <c r="AX139" s="47"/>
    </row>
    <row r="140" spans="3:50">
      <c r="C140" s="147" t="s">
        <v>391</v>
      </c>
      <c r="D140" s="146"/>
      <c r="E140" s="146"/>
      <c r="F140" s="146"/>
      <c r="G140" s="146"/>
      <c r="H140" s="146"/>
      <c r="I140" s="146"/>
      <c r="J140" s="146"/>
      <c r="K140" s="146"/>
      <c r="L140" s="146"/>
      <c r="M140" s="146"/>
      <c r="N140" s="146"/>
      <c r="O140" s="146"/>
      <c r="P140" s="146"/>
      <c r="Q140" s="146"/>
      <c r="R140" s="146"/>
      <c r="S140" s="146"/>
      <c r="T140" s="146"/>
      <c r="AK140" s="268" t="s">
        <v>254</v>
      </c>
      <c r="AL140" s="9"/>
      <c r="AM140" s="9" t="s">
        <v>414</v>
      </c>
      <c r="AN140" s="9" t="s">
        <v>252</v>
      </c>
      <c r="AO140" s="269" t="s">
        <v>309</v>
      </c>
      <c r="AW140" s="270" t="s">
        <v>185</v>
      </c>
      <c r="AX140" s="47"/>
    </row>
    <row r="141" spans="3:50">
      <c r="C141" s="147" t="s">
        <v>391</v>
      </c>
      <c r="D141" s="146"/>
      <c r="E141" s="146"/>
      <c r="F141" s="146"/>
      <c r="G141" s="146"/>
      <c r="H141" s="146"/>
      <c r="I141" s="146"/>
      <c r="J141" s="146"/>
      <c r="K141" s="146"/>
      <c r="L141" s="146"/>
      <c r="M141" s="146"/>
      <c r="N141" s="146"/>
      <c r="O141" s="146"/>
      <c r="P141" s="146"/>
      <c r="Q141" s="146"/>
      <c r="R141" s="146"/>
      <c r="S141" s="146"/>
      <c r="T141" s="146"/>
      <c r="AK141" s="268" t="s">
        <v>280</v>
      </c>
      <c r="AL141" s="9"/>
      <c r="AM141" s="9" t="s">
        <v>415</v>
      </c>
      <c r="AN141" s="9" t="s">
        <v>257</v>
      </c>
      <c r="AO141" s="269" t="s">
        <v>309</v>
      </c>
      <c r="AX141" s="47"/>
    </row>
    <row r="142" spans="3:50">
      <c r="C142" s="147" t="s">
        <v>391</v>
      </c>
      <c r="D142" s="146"/>
      <c r="E142" s="146"/>
      <c r="F142" s="146"/>
      <c r="G142" s="146"/>
      <c r="H142" s="146"/>
      <c r="I142" s="146"/>
      <c r="J142" s="146"/>
      <c r="K142" s="146"/>
      <c r="L142" s="146"/>
      <c r="M142" s="146"/>
      <c r="N142" s="146"/>
      <c r="O142" s="146"/>
      <c r="P142" s="146"/>
      <c r="Q142" s="146"/>
      <c r="R142" s="146"/>
      <c r="S142" s="146"/>
      <c r="T142" s="146"/>
      <c r="AK142" s="268" t="s">
        <v>272</v>
      </c>
      <c r="AL142" s="9"/>
      <c r="AM142" s="9" t="s">
        <v>416</v>
      </c>
      <c r="AN142" s="9" t="s">
        <v>260</v>
      </c>
      <c r="AO142" s="269" t="s">
        <v>309</v>
      </c>
      <c r="AW142" s="9" t="s">
        <v>185</v>
      </c>
      <c r="AX142" s="47"/>
    </row>
    <row r="143" spans="3:50" ht="15">
      <c r="C143" s="271" t="s">
        <v>417</v>
      </c>
      <c r="D143" s="271">
        <f t="shared" ref="D143:T143" si="22">SUM(D132:D142)</f>
        <v>0</v>
      </c>
      <c r="E143" s="271">
        <f t="shared" si="22"/>
        <v>0</v>
      </c>
      <c r="F143" s="271">
        <f t="shared" si="22"/>
        <v>0</v>
      </c>
      <c r="G143" s="271">
        <f t="shared" si="22"/>
        <v>0</v>
      </c>
      <c r="H143" s="271">
        <f t="shared" si="22"/>
        <v>0</v>
      </c>
      <c r="I143" s="271">
        <f t="shared" si="22"/>
        <v>0</v>
      </c>
      <c r="J143" s="271">
        <f t="shared" si="22"/>
        <v>0</v>
      </c>
      <c r="K143" s="271">
        <f t="shared" si="22"/>
        <v>0</v>
      </c>
      <c r="L143" s="271">
        <f t="shared" si="22"/>
        <v>0</v>
      </c>
      <c r="M143" s="271">
        <f t="shared" si="22"/>
        <v>0</v>
      </c>
      <c r="N143" s="271">
        <f t="shared" si="22"/>
        <v>0</v>
      </c>
      <c r="O143" s="271">
        <f t="shared" si="22"/>
        <v>0</v>
      </c>
      <c r="P143" s="271">
        <f t="shared" si="22"/>
        <v>0</v>
      </c>
      <c r="Q143" s="271">
        <f t="shared" si="22"/>
        <v>0</v>
      </c>
      <c r="R143" s="271">
        <f t="shared" si="22"/>
        <v>0</v>
      </c>
      <c r="S143" s="271">
        <f t="shared" si="22"/>
        <v>0</v>
      </c>
      <c r="T143" s="271">
        <f t="shared" si="22"/>
        <v>0</v>
      </c>
      <c r="AK143" s="268" t="s">
        <v>276</v>
      </c>
      <c r="AL143" s="9" t="s">
        <v>418</v>
      </c>
      <c r="AM143" s="9" t="s">
        <v>419</v>
      </c>
      <c r="AN143" s="9" t="s">
        <v>230</v>
      </c>
      <c r="AO143" s="269"/>
      <c r="AQ143" s="2" t="s">
        <v>407</v>
      </c>
      <c r="AR143" s="2" t="s">
        <v>408</v>
      </c>
      <c r="AW143" s="9" t="s">
        <v>418</v>
      </c>
      <c r="AX143" s="47"/>
    </row>
    <row r="144" spans="3:50">
      <c r="I144" s="6"/>
      <c r="AK144" s="268" t="s">
        <v>286</v>
      </c>
      <c r="AL144" s="9" t="s">
        <v>418</v>
      </c>
      <c r="AM144" s="9" t="s">
        <v>420</v>
      </c>
      <c r="AN144" s="9" t="s">
        <v>230</v>
      </c>
      <c r="AO144" s="269"/>
      <c r="AQ144" s="2" t="s">
        <v>407</v>
      </c>
      <c r="AR144" s="2" t="s">
        <v>408</v>
      </c>
      <c r="AW144" s="9" t="s">
        <v>418</v>
      </c>
      <c r="AX144" s="47"/>
    </row>
    <row r="145" spans="3:50">
      <c r="AK145" s="268" t="s">
        <v>421</v>
      </c>
      <c r="AL145" s="9"/>
      <c r="AM145" s="9" t="s">
        <v>422</v>
      </c>
      <c r="AN145" s="9" t="s">
        <v>230</v>
      </c>
      <c r="AO145" s="269"/>
      <c r="AQ145" s="2" t="s">
        <v>407</v>
      </c>
      <c r="AR145" s="2" t="s">
        <v>408</v>
      </c>
      <c r="AW145" s="2" t="s">
        <v>423</v>
      </c>
      <c r="AX145" s="47"/>
    </row>
    <row r="146" spans="3:50" ht="15">
      <c r="C146" s="5" t="s">
        <v>424</v>
      </c>
      <c r="AK146" s="46"/>
      <c r="AX146" s="47"/>
    </row>
    <row r="147" spans="3:50" ht="128.25">
      <c r="C147" s="11" t="s">
        <v>386</v>
      </c>
      <c r="D147" s="264" t="s">
        <v>347</v>
      </c>
      <c r="E147" s="264" t="s">
        <v>387</v>
      </c>
      <c r="F147" s="264" t="s">
        <v>388</v>
      </c>
      <c r="G147" s="264" t="s">
        <v>177</v>
      </c>
      <c r="H147" s="264" t="s">
        <v>354</v>
      </c>
      <c r="I147" s="264" t="s">
        <v>355</v>
      </c>
      <c r="J147" s="264" t="s">
        <v>356</v>
      </c>
      <c r="K147" s="264" t="s">
        <v>357</v>
      </c>
      <c r="L147" s="264" t="s">
        <v>361</v>
      </c>
      <c r="M147" s="264" t="s">
        <v>635</v>
      </c>
      <c r="N147" s="264" t="s">
        <v>389</v>
      </c>
      <c r="O147" s="264" t="s">
        <v>366</v>
      </c>
      <c r="P147" s="264" t="s">
        <v>180</v>
      </c>
      <c r="Q147" s="264" t="s">
        <v>390</v>
      </c>
      <c r="R147" s="148" t="s">
        <v>391</v>
      </c>
      <c r="S147" s="148" t="s">
        <v>391</v>
      </c>
      <c r="T147" s="148" t="s">
        <v>391</v>
      </c>
      <c r="AK147" s="46" t="str">
        <f>AK133</f>
        <v>Velg arealtype</v>
      </c>
      <c r="AX147" s="47"/>
    </row>
    <row r="148" spans="3:50">
      <c r="C148" s="9" t="s">
        <v>392</v>
      </c>
      <c r="D148" s="145"/>
      <c r="E148" s="145"/>
      <c r="F148" s="145"/>
      <c r="G148" s="145"/>
      <c r="H148" s="145"/>
      <c r="I148" s="145"/>
      <c r="J148" s="145"/>
      <c r="K148" s="145"/>
      <c r="L148" s="145"/>
      <c r="M148" s="145"/>
      <c r="N148" s="145"/>
      <c r="O148" s="145"/>
      <c r="P148" s="145"/>
      <c r="Q148" s="145"/>
      <c r="R148" s="145"/>
      <c r="S148" s="145"/>
      <c r="T148" s="145"/>
      <c r="AK148" s="268" t="s">
        <v>150</v>
      </c>
      <c r="AL148" s="9" t="s">
        <v>425</v>
      </c>
      <c r="AM148" s="9" t="s">
        <v>426</v>
      </c>
      <c r="AN148" s="9" t="s">
        <v>230</v>
      </c>
      <c r="AO148" s="269"/>
      <c r="AQ148" s="2" t="s">
        <v>407</v>
      </c>
      <c r="AR148" s="2" t="s">
        <v>408</v>
      </c>
      <c r="AW148" s="9" t="s">
        <v>425</v>
      </c>
      <c r="AX148" s="47"/>
    </row>
    <row r="149" spans="3:50">
      <c r="C149" s="9" t="s">
        <v>396</v>
      </c>
      <c r="D149" s="145"/>
      <c r="E149" s="145"/>
      <c r="F149" s="145"/>
      <c r="G149" s="145"/>
      <c r="H149" s="145"/>
      <c r="I149" s="145"/>
      <c r="J149" s="145"/>
      <c r="K149" s="145"/>
      <c r="L149" s="145"/>
      <c r="M149" s="145"/>
      <c r="N149" s="145"/>
      <c r="O149" s="145"/>
      <c r="P149" s="145"/>
      <c r="Q149" s="145"/>
      <c r="R149" s="145"/>
      <c r="S149" s="145"/>
      <c r="T149" s="145"/>
      <c r="AK149" s="268" t="s">
        <v>148</v>
      </c>
      <c r="AL149" s="9" t="s">
        <v>427</v>
      </c>
      <c r="AM149" s="9" t="s">
        <v>428</v>
      </c>
      <c r="AN149" s="9" t="s">
        <v>266</v>
      </c>
      <c r="AO149" s="269" t="s">
        <v>309</v>
      </c>
      <c r="AW149" s="9" t="s">
        <v>427</v>
      </c>
      <c r="AX149" s="47"/>
    </row>
    <row r="150" spans="3:50">
      <c r="C150" s="9" t="s">
        <v>398</v>
      </c>
      <c r="D150" s="146"/>
      <c r="E150" s="146"/>
      <c r="F150" s="146"/>
      <c r="G150" s="146"/>
      <c r="H150" s="146"/>
      <c r="I150" s="146"/>
      <c r="J150" s="146"/>
      <c r="K150" s="146"/>
      <c r="L150" s="146"/>
      <c r="M150" s="146"/>
      <c r="N150" s="146"/>
      <c r="O150" s="146"/>
      <c r="P150" s="146"/>
      <c r="Q150" s="146"/>
      <c r="R150" s="146"/>
      <c r="S150" s="146"/>
      <c r="T150" s="146"/>
      <c r="AK150" s="268"/>
      <c r="AL150" s="9"/>
      <c r="AM150" s="9"/>
      <c r="AN150" s="9"/>
      <c r="AX150" s="47"/>
    </row>
    <row r="151" spans="3:50" ht="15" thickBot="1">
      <c r="C151" s="9" t="s">
        <v>400</v>
      </c>
      <c r="D151" s="146"/>
      <c r="E151" s="146"/>
      <c r="F151" s="146"/>
      <c r="G151" s="146"/>
      <c r="H151" s="146"/>
      <c r="I151" s="146"/>
      <c r="J151" s="146"/>
      <c r="K151" s="146"/>
      <c r="L151" s="146"/>
      <c r="M151" s="146"/>
      <c r="N151" s="146"/>
      <c r="O151" s="146"/>
      <c r="P151" s="146"/>
      <c r="Q151" s="146"/>
      <c r="R151" s="146"/>
      <c r="S151" s="146"/>
      <c r="T151" s="146"/>
      <c r="AK151" s="272" t="s">
        <v>429</v>
      </c>
      <c r="AL151" s="273"/>
      <c r="AM151" s="273"/>
      <c r="AN151" s="273"/>
      <c r="AO151" s="49"/>
      <c r="AP151" s="49"/>
      <c r="AQ151" s="49"/>
      <c r="AR151" s="49"/>
      <c r="AS151" s="49"/>
      <c r="AT151" s="49"/>
      <c r="AU151" s="49"/>
      <c r="AV151" s="49"/>
      <c r="AW151" s="49"/>
      <c r="AX151" s="50"/>
    </row>
    <row r="152" spans="3:50">
      <c r="C152" s="9" t="s">
        <v>403</v>
      </c>
      <c r="D152" s="146"/>
      <c r="E152" s="146"/>
      <c r="F152" s="146"/>
      <c r="G152" s="146"/>
      <c r="H152" s="146"/>
      <c r="I152" s="146"/>
      <c r="J152" s="146"/>
      <c r="K152" s="146"/>
      <c r="L152" s="146"/>
      <c r="M152" s="146"/>
      <c r="N152" s="146"/>
      <c r="O152" s="146"/>
      <c r="P152" s="146"/>
      <c r="Q152" s="146"/>
      <c r="R152" s="146"/>
      <c r="S152" s="146"/>
      <c r="T152" s="146"/>
    </row>
    <row r="153" spans="3:50">
      <c r="C153" s="9" t="s">
        <v>405</v>
      </c>
      <c r="D153" s="146"/>
      <c r="E153" s="146"/>
      <c r="F153" s="146"/>
      <c r="G153" s="146"/>
      <c r="H153" s="146"/>
      <c r="I153" s="146"/>
      <c r="J153" s="146"/>
      <c r="K153" s="146"/>
      <c r="L153" s="146"/>
      <c r="M153" s="146"/>
      <c r="N153" s="146"/>
      <c r="O153" s="146"/>
      <c r="P153" s="146"/>
      <c r="Q153" s="146"/>
      <c r="R153" s="146"/>
      <c r="S153" s="146"/>
      <c r="T153" s="146"/>
    </row>
    <row r="154" spans="3:50">
      <c r="C154" s="9" t="s">
        <v>409</v>
      </c>
      <c r="D154" s="146"/>
      <c r="E154" s="146"/>
      <c r="F154" s="146"/>
      <c r="G154" s="146"/>
      <c r="H154" s="146"/>
      <c r="I154" s="146"/>
      <c r="J154" s="146"/>
      <c r="K154" s="146"/>
      <c r="L154" s="146"/>
      <c r="M154" s="146"/>
      <c r="N154" s="146"/>
      <c r="O154" s="146"/>
      <c r="P154" s="146"/>
      <c r="Q154" s="146"/>
      <c r="R154" s="146"/>
      <c r="S154" s="146"/>
      <c r="T154" s="146"/>
    </row>
    <row r="155" spans="3:50">
      <c r="C155" s="9" t="s">
        <v>411</v>
      </c>
      <c r="D155" s="146"/>
      <c r="E155" s="146"/>
      <c r="F155" s="146"/>
      <c r="G155" s="146"/>
      <c r="H155" s="146"/>
      <c r="I155" s="146"/>
      <c r="J155" s="146"/>
      <c r="K155" s="146"/>
      <c r="L155" s="146"/>
      <c r="M155" s="146"/>
      <c r="N155" s="146"/>
      <c r="O155" s="146"/>
      <c r="P155" s="146"/>
      <c r="Q155" s="146"/>
      <c r="R155" s="146"/>
      <c r="S155" s="146"/>
      <c r="T155" s="146"/>
    </row>
    <row r="156" spans="3:50">
      <c r="C156" s="147" t="s">
        <v>391</v>
      </c>
      <c r="D156" s="146"/>
      <c r="E156" s="146"/>
      <c r="F156" s="146"/>
      <c r="G156" s="146"/>
      <c r="H156" s="146"/>
      <c r="I156" s="146"/>
      <c r="J156" s="146"/>
      <c r="K156" s="146"/>
      <c r="L156" s="146"/>
      <c r="M156" s="146"/>
      <c r="N156" s="146"/>
      <c r="O156" s="146"/>
      <c r="P156" s="146"/>
      <c r="Q156" s="146"/>
      <c r="R156" s="146"/>
      <c r="S156" s="146"/>
      <c r="T156" s="146"/>
    </row>
    <row r="157" spans="3:50">
      <c r="C157" s="147" t="s">
        <v>391</v>
      </c>
      <c r="D157" s="146"/>
      <c r="E157" s="146"/>
      <c r="F157" s="146"/>
      <c r="G157" s="146"/>
      <c r="H157" s="146"/>
      <c r="I157" s="146"/>
      <c r="J157" s="146"/>
      <c r="K157" s="146"/>
      <c r="L157" s="146"/>
      <c r="M157" s="146"/>
      <c r="N157" s="146"/>
      <c r="O157" s="146"/>
      <c r="P157" s="146"/>
      <c r="Q157" s="146"/>
      <c r="R157" s="146"/>
      <c r="S157" s="146"/>
      <c r="T157" s="146"/>
    </row>
    <row r="158" spans="3:50">
      <c r="C158" s="147" t="s">
        <v>391</v>
      </c>
      <c r="D158" s="146"/>
      <c r="E158" s="146"/>
      <c r="F158" s="146"/>
      <c r="G158" s="146"/>
      <c r="H158" s="146"/>
      <c r="I158" s="146"/>
      <c r="J158" s="146"/>
      <c r="K158" s="146"/>
      <c r="L158" s="146"/>
      <c r="M158" s="146"/>
      <c r="N158" s="146"/>
      <c r="O158" s="146"/>
      <c r="P158" s="146"/>
      <c r="Q158" s="146"/>
      <c r="R158" s="146"/>
      <c r="S158" s="146"/>
      <c r="T158" s="146"/>
    </row>
    <row r="159" spans="3:50" ht="15">
      <c r="C159" s="271" t="s">
        <v>417</v>
      </c>
      <c r="D159" s="271">
        <f t="shared" ref="D159:T159" si="23">SUM(D148:D158)</f>
        <v>0</v>
      </c>
      <c r="E159" s="271">
        <f t="shared" si="23"/>
        <v>0</v>
      </c>
      <c r="F159" s="271">
        <f t="shared" si="23"/>
        <v>0</v>
      </c>
      <c r="G159" s="271">
        <f t="shared" si="23"/>
        <v>0</v>
      </c>
      <c r="H159" s="271">
        <f t="shared" si="23"/>
        <v>0</v>
      </c>
      <c r="I159" s="271">
        <f t="shared" si="23"/>
        <v>0</v>
      </c>
      <c r="J159" s="271">
        <f t="shared" si="23"/>
        <v>0</v>
      </c>
      <c r="K159" s="271">
        <f t="shared" si="23"/>
        <v>0</v>
      </c>
      <c r="L159" s="271">
        <f t="shared" si="23"/>
        <v>0</v>
      </c>
      <c r="M159" s="271">
        <f t="shared" si="23"/>
        <v>0</v>
      </c>
      <c r="N159" s="271">
        <f t="shared" si="23"/>
        <v>0</v>
      </c>
      <c r="O159" s="271">
        <f t="shared" si="23"/>
        <v>0</v>
      </c>
      <c r="P159" s="271">
        <f t="shared" si="23"/>
        <v>0</v>
      </c>
      <c r="Q159" s="271">
        <f t="shared" si="23"/>
        <v>0</v>
      </c>
      <c r="R159" s="271">
        <f t="shared" si="23"/>
        <v>0</v>
      </c>
      <c r="S159" s="271">
        <f t="shared" si="23"/>
        <v>0</v>
      </c>
      <c r="T159" s="271">
        <f t="shared" si="23"/>
        <v>0</v>
      </c>
    </row>
  </sheetData>
  <sheetProtection algorithmName="SHA-512" hashValue="DOesJE9ntXRaqO2/UG066VZ4nl58apJJaaQEkc0reGoys/y0zc4gxZF7kyQTNgdd9l7rooGQlkB7HbKbdQjLFQ==" saltValue="VImlU0hkKg7xK+1W2AENFA==" spinCount="100000" sheet="1" objects="1" scenarios="1"/>
  <mergeCells count="94">
    <mergeCell ref="AN16:BB16"/>
    <mergeCell ref="E17:F17"/>
    <mergeCell ref="G17:H17"/>
    <mergeCell ref="I17:J17"/>
    <mergeCell ref="K17:K18"/>
    <mergeCell ref="L17:N17"/>
    <mergeCell ref="AG17:AK17"/>
    <mergeCell ref="AN17:AR17"/>
    <mergeCell ref="AS17:AW17"/>
    <mergeCell ref="AX17:BB17"/>
    <mergeCell ref="D11:O11"/>
    <mergeCell ref="V1:BB1"/>
    <mergeCell ref="C7:O7"/>
    <mergeCell ref="D8:O8"/>
    <mergeCell ref="D9:O9"/>
    <mergeCell ref="D10:O10"/>
    <mergeCell ref="E26:F26"/>
    <mergeCell ref="G26:H26"/>
    <mergeCell ref="E25:F25"/>
    <mergeCell ref="G25:H25"/>
    <mergeCell ref="I25:J25"/>
    <mergeCell ref="G30:J30"/>
    <mergeCell ref="G31:J31"/>
    <mergeCell ref="G32:J32"/>
    <mergeCell ref="E27:F27"/>
    <mergeCell ref="G27:H27"/>
    <mergeCell ref="I27:J27"/>
    <mergeCell ref="G34:J34"/>
    <mergeCell ref="G35:J35"/>
    <mergeCell ref="D48:D49"/>
    <mergeCell ref="E48:E49"/>
    <mergeCell ref="F48:F49"/>
    <mergeCell ref="G48:G49"/>
    <mergeCell ref="H48:J49"/>
    <mergeCell ref="F57:J57"/>
    <mergeCell ref="AO36:AT36"/>
    <mergeCell ref="G37:J37"/>
    <mergeCell ref="G38:J38"/>
    <mergeCell ref="G39:J39"/>
    <mergeCell ref="F44:J44"/>
    <mergeCell ref="G36:J36"/>
    <mergeCell ref="H50:J50"/>
    <mergeCell ref="H51:J51"/>
    <mergeCell ref="F54:J54"/>
    <mergeCell ref="F55:J55"/>
    <mergeCell ref="F56:J56"/>
    <mergeCell ref="C78:C79"/>
    <mergeCell ref="D78:G78"/>
    <mergeCell ref="H78:H79"/>
    <mergeCell ref="F60:J60"/>
    <mergeCell ref="F61:J61"/>
    <mergeCell ref="F62:J62"/>
    <mergeCell ref="F63:J63"/>
    <mergeCell ref="F64:J64"/>
    <mergeCell ref="F65:J65"/>
    <mergeCell ref="I80:L80"/>
    <mergeCell ref="I81:L81"/>
    <mergeCell ref="I82:L82"/>
    <mergeCell ref="I83:L83"/>
    <mergeCell ref="I84:L84"/>
    <mergeCell ref="V65:Z65"/>
    <mergeCell ref="F66:J66"/>
    <mergeCell ref="G67:J67"/>
    <mergeCell ref="G68:J68"/>
    <mergeCell ref="G69:J69"/>
    <mergeCell ref="I90:L90"/>
    <mergeCell ref="I91:L91"/>
    <mergeCell ref="I92:L92"/>
    <mergeCell ref="D85:F85"/>
    <mergeCell ref="I85:L85"/>
    <mergeCell ref="D114:F114"/>
    <mergeCell ref="C96:C97"/>
    <mergeCell ref="D96:H96"/>
    <mergeCell ref="G97:H97"/>
    <mergeCell ref="D98:E98"/>
    <mergeCell ref="G98:H98"/>
    <mergeCell ref="D99:E99"/>
    <mergeCell ref="G99:H99"/>
    <mergeCell ref="BD15:BO15"/>
    <mergeCell ref="BF17:BJ17"/>
    <mergeCell ref="I99:L99"/>
    <mergeCell ref="C100:L103"/>
    <mergeCell ref="D109:F109"/>
    <mergeCell ref="I98:L98"/>
    <mergeCell ref="I93:L93"/>
    <mergeCell ref="D86:F86"/>
    <mergeCell ref="I86:L86"/>
    <mergeCell ref="D87:F87"/>
    <mergeCell ref="H87:H88"/>
    <mergeCell ref="I87:L87"/>
    <mergeCell ref="D88:F88"/>
    <mergeCell ref="I88:L88"/>
    <mergeCell ref="I89:L89"/>
    <mergeCell ref="D90:F90"/>
  </mergeCells>
  <conditionalFormatting sqref="C44:F44 C43:J43 C45:C46">
    <cfRule type="expression" dxfId="92" priority="26">
      <formula>$V$46=0</formula>
    </cfRule>
  </conditionalFormatting>
  <conditionalFormatting sqref="C29:J30">
    <cfRule type="expression" dxfId="91" priority="33">
      <formula>$V$40=0</formula>
    </cfRule>
  </conditionalFormatting>
  <conditionalFormatting sqref="C130:T159">
    <cfRule type="expression" dxfId="90" priority="3">
      <formula>$D$128=$AA$126</formula>
    </cfRule>
  </conditionalFormatting>
  <conditionalFormatting sqref="D80:D91">
    <cfRule type="expression" dxfId="89" priority="42">
      <formula>$V$29=0</formula>
    </cfRule>
  </conditionalFormatting>
  <conditionalFormatting sqref="D81">
    <cfRule type="expression" dxfId="88" priority="2">
      <formula>$E$25+$E$26=0</formula>
    </cfRule>
  </conditionalFormatting>
  <conditionalFormatting sqref="D92">
    <cfRule type="expression" dxfId="87" priority="5">
      <formula>$D$92=0</formula>
    </cfRule>
    <cfRule type="expression" dxfId="86" priority="46">
      <formula>$E$44&lt;&gt;Nei</formula>
    </cfRule>
  </conditionalFormatting>
  <conditionalFormatting sqref="D85:F88 D90:F90">
    <cfRule type="expression" dxfId="85" priority="9">
      <formula>$V$32&gt;0</formula>
    </cfRule>
  </conditionalFormatting>
  <conditionalFormatting sqref="D86:F86">
    <cfRule type="expression" dxfId="84" priority="8">
      <formula>$D$86=0</formula>
    </cfRule>
  </conditionalFormatting>
  <conditionalFormatting sqref="D87:F87">
    <cfRule type="expression" dxfId="83" priority="7">
      <formula>$D$87=0</formula>
    </cfRule>
  </conditionalFormatting>
  <conditionalFormatting sqref="D88:F88">
    <cfRule type="expression" dxfId="82" priority="6">
      <formula>$D$88=0</formula>
    </cfRule>
  </conditionalFormatting>
  <conditionalFormatting sqref="D90:F90">
    <cfRule type="expression" dxfId="81" priority="1">
      <formula>$D$90=0</formula>
    </cfRule>
  </conditionalFormatting>
  <conditionalFormatting sqref="E37">
    <cfRule type="expression" dxfId="80" priority="10">
      <formula>$E$36=""</formula>
    </cfRule>
    <cfRule type="expression" dxfId="79" priority="11">
      <formula>$E$36=0</formula>
    </cfRule>
  </conditionalFormatting>
  <conditionalFormatting sqref="E80:E84 E89 E91">
    <cfRule type="expression" dxfId="78" priority="43">
      <formula>$W$29=0</formula>
    </cfRule>
  </conditionalFormatting>
  <conditionalFormatting sqref="E25:F26">
    <cfRule type="expression" dxfId="77" priority="36">
      <formula>$V$29=0</formula>
    </cfRule>
    <cfRule type="expression" dxfId="76" priority="37">
      <formula>$V$29&gt;0</formula>
    </cfRule>
  </conditionalFormatting>
  <conditionalFormatting sqref="E19:J24">
    <cfRule type="expression" dxfId="75" priority="24">
      <formula>$W19=0</formula>
    </cfRule>
    <cfRule type="expression" dxfId="74" priority="25">
      <formula>$W19=1</formula>
    </cfRule>
  </conditionalFormatting>
  <conditionalFormatting sqref="F82:F84 F89 F91">
    <cfRule type="expression" dxfId="73" priority="44">
      <formula>$V$30=0</formula>
    </cfRule>
  </conditionalFormatting>
  <conditionalFormatting sqref="F44:J44">
    <cfRule type="expression" dxfId="72" priority="12">
      <formula>$V$46=0</formula>
    </cfRule>
  </conditionalFormatting>
  <conditionalFormatting sqref="G25:H26">
    <cfRule type="expression" dxfId="71" priority="38">
      <formula>$W$29=0</formula>
    </cfRule>
    <cfRule type="expression" dxfId="70" priority="39">
      <formula>$W$29&gt;0</formula>
    </cfRule>
  </conditionalFormatting>
  <conditionalFormatting sqref="G27:H27">
    <cfRule type="expression" dxfId="69" priority="45">
      <formula>$W$29&gt;0</formula>
    </cfRule>
  </conditionalFormatting>
  <conditionalFormatting sqref="H85">
    <cfRule type="iconSet" priority="20">
      <iconSet>
        <cfvo type="percent" val="0"/>
        <cfvo type="percent" val="33"/>
        <cfvo type="percent" val="67"/>
      </iconSet>
    </cfRule>
  </conditionalFormatting>
  <conditionalFormatting sqref="I27:J27">
    <cfRule type="expression" dxfId="68" priority="40">
      <formula>$X$29=0</formula>
    </cfRule>
    <cfRule type="expression" dxfId="67" priority="41">
      <formula>$X$29&gt;0</formula>
    </cfRule>
  </conditionalFormatting>
  <conditionalFormatting sqref="K19:K24">
    <cfRule type="expression" dxfId="66" priority="32">
      <formula>V19=1</formula>
    </cfRule>
  </conditionalFormatting>
  <conditionalFormatting sqref="M19:N24">
    <cfRule type="expression" dxfId="65" priority="28">
      <formula>$X19=0</formula>
    </cfRule>
    <cfRule type="expression" dxfId="64" priority="29">
      <formula>$X19=1</formula>
    </cfRule>
  </conditionalFormatting>
  <conditionalFormatting sqref="N19:N24">
    <cfRule type="expression" dxfId="63" priority="27">
      <formula>$L19&lt;&gt;""</formula>
    </cfRule>
  </conditionalFormatting>
  <conditionalFormatting sqref="AB4:AC4">
    <cfRule type="expression" dxfId="62" priority="4">
      <formula>$Z$11=0</formula>
    </cfRule>
  </conditionalFormatting>
  <dataValidations count="7">
    <dataValidation type="whole" operator="lessThan" allowBlank="1" showInputMessage="1" showErrorMessage="1" error="Oppgi produsert strøm fra solceller som negativt tall" sqref="E39" xr:uid="{5F590F0F-EBAE-40B7-97CA-A7A81D18AB87}">
      <formula1>1</formula1>
    </dataValidation>
    <dataValidation type="list" allowBlank="1" showInputMessage="1" showErrorMessage="1" sqref="E44" xr:uid="{6AE3A491-E664-4C62-9D14-FF0AA203238C}">
      <formula1>$AA$45:$AA$47</formula1>
    </dataValidation>
    <dataValidation type="list" allowBlank="1" showInputMessage="1" showErrorMessage="1" sqref="D41" xr:uid="{11EE09BD-9034-4502-9852-D8F263E0357B}">
      <formula1>$AA$40:$AA$42</formula1>
    </dataValidation>
    <dataValidation type="list" allowBlank="1" showInputMessage="1" showErrorMessage="1" sqref="G50:G51" xr:uid="{33682CB6-F4B4-4C24-8CA2-CBD021747F36}">
      <formula1>$V$53:$V$56</formula1>
    </dataValidation>
    <dataValidation type="list" allowBlank="1" showInputMessage="1" showErrorMessage="1" sqref="D23:D24" xr:uid="{A3D30A16-5FAE-4C4D-BED4-6157B7C2F0DD}">
      <formula1>$AK$147:$AK$149</formula1>
    </dataValidation>
    <dataValidation type="list" allowBlank="1" showInputMessage="1" showErrorMessage="1" sqref="D19:D22" xr:uid="{19AFA33B-AAF5-44CB-882D-4025D28CFA0B}">
      <formula1>$AK$133:$AK$145</formula1>
    </dataValidation>
    <dataValidation type="list" allowBlank="1" showInputMessage="1" showErrorMessage="1" sqref="D128" xr:uid="{7B0A2570-427A-46A8-8A22-DF6EB2A6DDC7}">
      <formula1>$AA$125:$AA$126</formula1>
    </dataValidation>
  </dataValidations>
  <pageMargins left="0.7" right="0.7" top="0.75" bottom="0.75" header="0.3" footer="0.3"/>
  <pageSetup paperSize="9" scale="38" fitToHeight="0" orientation="landscape" verticalDpi="0" r:id="rId1"/>
  <rowBreaks count="2" manualBreakCount="2">
    <brk id="75" max="16383" man="1"/>
    <brk id="126"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23" id="{477F612E-8C25-4288-9494-F67BFA33A222}">
            <x14:iconSet custom="1">
              <x14:cfvo type="percent">
                <xm:f>0</xm:f>
              </x14:cfvo>
              <x14:cfvo type="num">
                <xm:f>0.09</xm:f>
              </x14:cfvo>
              <x14:cfvo type="num">
                <xm:f>0.11</xm:f>
              </x14:cfvo>
              <x14:cfIcon iconSet="3TrafficLights1" iconId="1"/>
              <x14:cfIcon iconSet="3TrafficLights1" iconId="2"/>
              <x14:cfIcon iconSet="3TrafficLights1" iconId="0"/>
            </x14:iconSet>
          </x14:cfRule>
          <xm:sqref>H80</xm:sqref>
        </x14:conditionalFormatting>
        <x14:conditionalFormatting xmlns:xm="http://schemas.microsoft.com/office/excel/2006/main">
          <x14:cfRule type="iconSet" priority="18" id="{0004FA21-700E-4DE0-BD27-D259803DD125}">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H81</xm:sqref>
        </x14:conditionalFormatting>
        <x14:conditionalFormatting xmlns:xm="http://schemas.microsoft.com/office/excel/2006/main">
          <x14:cfRule type="iconSet" priority="19" id="{9524D101-B06A-4552-9E39-E6EF8B457673}">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7" id="{2F154DD1-3305-4CB2-AA3A-D981017A72E4}">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H83</xm:sqref>
        </x14:conditionalFormatting>
        <x14:conditionalFormatting xmlns:xm="http://schemas.microsoft.com/office/excel/2006/main">
          <x14:cfRule type="iconSet" priority="16" id="{C616EDE2-C4FD-4134-9761-E1572F5C3CF2}">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21" id="{5E01C390-AB67-4B92-BA7D-0FCEF9C489F8}">
            <x14:iconSet custom="1">
              <x14:cfvo type="percent">
                <xm:f>0</xm:f>
              </x14:cfvo>
              <x14:cfvo type="num">
                <xm:f>0.9</xm:f>
              </x14:cfvo>
              <x14:cfvo type="num">
                <xm:f>1.1000000000000001</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22" id="{0FE9D778-6C43-44EA-96B8-652DA735723C}">
            <x14:iconSet custom="1">
              <x14:cfvo type="percent">
                <xm:f>0</xm:f>
              </x14:cfvo>
              <x14:cfvo type="num">
                <xm:f>0</xm:f>
              </x14:cfvo>
              <x14:cfvo type="num" gte="0">
                <xm:f>0</xm:f>
              </x14:cfvo>
              <x14:cfIcon iconSet="3TrafficLights1" iconId="2"/>
              <x14:cfIcon iconSet="3TrafficLights1" iconId="1"/>
              <x14:cfIcon iconSet="3TrafficLights1" iconId="0"/>
            </x14:iconSet>
          </x14:cfRule>
          <xm:sqref>H87</xm:sqref>
        </x14:conditionalFormatting>
        <x14:conditionalFormatting xmlns:xm="http://schemas.microsoft.com/office/excel/2006/main">
          <x14:cfRule type="iconSet" priority="15" id="{76923C37-1C5B-494B-89B7-CDEF3ECF201F}">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H89</xm:sqref>
        </x14:conditionalFormatting>
        <x14:conditionalFormatting xmlns:xm="http://schemas.microsoft.com/office/excel/2006/main">
          <x14:cfRule type="iconSet" priority="14" id="{EA4EA27E-A34B-41D5-A8AF-7BA375692C22}">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3" id="{73DFBF98-7F93-40EE-B4A8-6446333D6995}">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H91</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0E669-6279-4E7A-AA8F-FD949E0554B7}">
  <sheetPr>
    <pageSetUpPr fitToPage="1"/>
  </sheetPr>
  <dimension ref="C1:BP159"/>
  <sheetViews>
    <sheetView showGridLines="0" zoomScaleNormal="100" workbookViewId="0">
      <selection activeCell="D98" sqref="D98:E98"/>
    </sheetView>
  </sheetViews>
  <sheetFormatPr defaultColWidth="9.140625" defaultRowHeight="14.25"/>
  <cols>
    <col min="1" max="1" width="1.7109375" style="2" customWidth="1"/>
    <col min="2" max="2" width="1" style="2" customWidth="1"/>
    <col min="3" max="3" width="64.85546875" style="2" customWidth="1"/>
    <col min="4" max="4" width="35.140625" style="2" customWidth="1"/>
    <col min="5" max="5" width="18.7109375" style="2" customWidth="1"/>
    <col min="6" max="6" width="17.42578125" style="2" customWidth="1"/>
    <col min="7" max="7" width="16.5703125" style="2" bestFit="1" customWidth="1"/>
    <col min="8" max="8" width="15.5703125" style="2" customWidth="1"/>
    <col min="9" max="9" width="15.140625" style="2" bestFit="1" customWidth="1"/>
    <col min="10" max="10" width="6.140625" style="2" customWidth="1"/>
    <col min="11" max="11" width="11.42578125" style="2" customWidth="1"/>
    <col min="12" max="12" width="30.85546875" style="2" customWidth="1"/>
    <col min="13" max="13" width="6.28515625" style="2" bestFit="1" customWidth="1"/>
    <col min="14" max="14" width="6.140625" style="2" bestFit="1" customWidth="1"/>
    <col min="15" max="15" width="27.42578125" style="2" customWidth="1"/>
    <col min="16" max="16" width="17.42578125" style="2" customWidth="1"/>
    <col min="17" max="17" width="13.85546875" style="2" customWidth="1"/>
    <col min="18" max="18" width="14.7109375" style="2" customWidth="1"/>
    <col min="19" max="20" width="9.140625" style="2" customWidth="1"/>
    <col min="21" max="21" width="12" style="2" hidden="1" customWidth="1"/>
    <col min="22" max="22" width="25" style="2" hidden="1" customWidth="1"/>
    <col min="23" max="23" width="9.140625" style="2" hidden="1" customWidth="1"/>
    <col min="24" max="24" width="13" style="2" hidden="1" customWidth="1"/>
    <col min="25" max="25" width="9.140625" style="2" hidden="1" customWidth="1"/>
    <col min="26" max="26" width="14.42578125" style="2" hidden="1" customWidth="1"/>
    <col min="27" max="27" width="22.85546875" style="2" hidden="1" customWidth="1"/>
    <col min="28" max="30" width="9.140625" style="2" hidden="1" customWidth="1"/>
    <col min="31" max="31" width="29.28515625" style="2" hidden="1" customWidth="1"/>
    <col min="32" max="32" width="31.85546875" style="2" hidden="1" customWidth="1"/>
    <col min="33" max="33" width="32.28515625" style="2" hidden="1" customWidth="1"/>
    <col min="34" max="34" width="18.85546875" style="2" hidden="1" customWidth="1"/>
    <col min="35" max="35" width="37.7109375" style="2" hidden="1" customWidth="1"/>
    <col min="36" max="36" width="9.140625" style="2" hidden="1" customWidth="1"/>
    <col min="37" max="37" width="34.7109375" style="2" hidden="1" customWidth="1"/>
    <col min="38" max="38" width="25.140625" style="2" hidden="1" customWidth="1"/>
    <col min="39" max="39" width="23.85546875" style="2" hidden="1" customWidth="1"/>
    <col min="40" max="40" width="35" style="2" hidden="1" customWidth="1"/>
    <col min="41" max="41" width="20.42578125" style="2" hidden="1" customWidth="1"/>
    <col min="42" max="42" width="9.140625" style="2" hidden="1" customWidth="1"/>
    <col min="43" max="43" width="20.85546875" style="2" hidden="1" customWidth="1"/>
    <col min="44" max="44" width="9.140625" style="2" hidden="1" customWidth="1"/>
    <col min="45" max="45" width="14.140625" style="2" hidden="1" customWidth="1"/>
    <col min="46" max="46" width="19.5703125" style="2" hidden="1" customWidth="1"/>
    <col min="47" max="48" width="9.140625" style="2" hidden="1" customWidth="1"/>
    <col min="49" max="49" width="12.5703125" style="2" hidden="1" customWidth="1"/>
    <col min="50" max="50" width="12.140625" style="2" hidden="1" customWidth="1"/>
    <col min="51" max="51" width="19.5703125" style="2" hidden="1" customWidth="1"/>
    <col min="52" max="52" width="12" style="2" hidden="1" customWidth="1"/>
    <col min="53" max="53" width="9.140625" style="2" hidden="1" customWidth="1"/>
    <col min="54" max="54" width="13" style="2" hidden="1" customWidth="1"/>
    <col min="55" max="68" width="9.140625" style="2" hidden="1" customWidth="1"/>
    <col min="69" max="81" width="0" style="2" hidden="1" customWidth="1"/>
    <col min="82" max="16384" width="9.140625" style="2"/>
  </cols>
  <sheetData>
    <row r="1" spans="3:67">
      <c r="V1" s="390" t="s">
        <v>144</v>
      </c>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row>
    <row r="2" spans="3:67" ht="27">
      <c r="C2" s="53" t="str">
        <f>"Alternativ 4: "&amp;D4</f>
        <v xml:space="preserve">Alternativ 4: </v>
      </c>
      <c r="D2" s="1"/>
    </row>
    <row r="3" spans="3:67" ht="15.75" customHeight="1"/>
    <row r="4" spans="3:67" ht="15.75" customHeight="1">
      <c r="C4" s="20" t="s">
        <v>145</v>
      </c>
      <c r="D4" s="130"/>
      <c r="E4" s="19"/>
      <c r="F4" s="19"/>
      <c r="G4" s="19"/>
      <c r="H4" s="19"/>
      <c r="I4" s="19"/>
      <c r="J4" s="19"/>
      <c r="K4" s="19"/>
      <c r="L4" s="19"/>
      <c r="M4" s="19"/>
      <c r="N4" s="19"/>
      <c r="O4" s="19"/>
      <c r="AB4" s="151" t="s">
        <v>55</v>
      </c>
      <c r="AC4" s="151" t="s">
        <v>56</v>
      </c>
    </row>
    <row r="5" spans="3:67" ht="15.75" customHeight="1">
      <c r="C5" s="19"/>
      <c r="D5" s="19"/>
      <c r="E5" s="19"/>
      <c r="F5" s="19"/>
      <c r="G5" s="19"/>
      <c r="H5" s="19"/>
      <c r="I5" s="19"/>
      <c r="J5" s="19"/>
      <c r="K5" s="19"/>
      <c r="L5" s="19"/>
      <c r="M5" s="19"/>
      <c r="N5" s="19"/>
      <c r="O5" s="19"/>
      <c r="AA5" s="20" t="s">
        <v>57</v>
      </c>
      <c r="AB5" s="9">
        <f>SUM(E19:E22)</f>
        <v>0</v>
      </c>
      <c r="AC5" s="9">
        <f>SUM(F19:F22)</f>
        <v>0</v>
      </c>
    </row>
    <row r="6" spans="3:67" ht="15.75" customHeight="1">
      <c r="C6" s="19"/>
      <c r="D6" s="19"/>
      <c r="E6" s="19"/>
      <c r="F6" s="19"/>
      <c r="G6" s="19"/>
      <c r="H6" s="19"/>
      <c r="I6" s="19"/>
      <c r="J6" s="19"/>
      <c r="K6" s="19"/>
      <c r="L6" s="19"/>
      <c r="M6" s="19"/>
      <c r="N6" s="19"/>
      <c r="O6" s="19"/>
      <c r="AA6" s="20" t="s">
        <v>58</v>
      </c>
      <c r="AB6" s="9">
        <f>SUM(G19:G22)</f>
        <v>0</v>
      </c>
      <c r="AC6" s="9">
        <f>SUM(H19:H22)</f>
        <v>0</v>
      </c>
    </row>
    <row r="7" spans="3:67" ht="15.75" customHeight="1">
      <c r="C7" s="382" t="s">
        <v>146</v>
      </c>
      <c r="D7" s="382"/>
      <c r="E7" s="382"/>
      <c r="F7" s="382"/>
      <c r="G7" s="382"/>
      <c r="H7" s="382"/>
      <c r="I7" s="382"/>
      <c r="J7" s="382"/>
      <c r="K7" s="382"/>
      <c r="L7" s="382"/>
      <c r="M7" s="382"/>
      <c r="N7" s="382"/>
      <c r="O7" s="382"/>
      <c r="AA7" s="20" t="s">
        <v>59</v>
      </c>
      <c r="AB7" s="9">
        <f>SUM(I19:I22)</f>
        <v>0</v>
      </c>
      <c r="AC7" s="9">
        <f>SUM(J19:J22)</f>
        <v>0</v>
      </c>
    </row>
    <row r="8" spans="3:67" ht="30" customHeight="1">
      <c r="C8" s="152" t="s">
        <v>147</v>
      </c>
      <c r="D8" s="385"/>
      <c r="E8" s="386"/>
      <c r="F8" s="386"/>
      <c r="G8" s="386"/>
      <c r="H8" s="386"/>
      <c r="I8" s="386"/>
      <c r="J8" s="386"/>
      <c r="K8" s="386"/>
      <c r="L8" s="386"/>
      <c r="M8" s="386"/>
      <c r="N8" s="386"/>
      <c r="O8" s="387"/>
      <c r="Z8" s="2" t="s">
        <v>148</v>
      </c>
      <c r="AA8" s="20" t="s">
        <v>60</v>
      </c>
      <c r="AB8" s="9">
        <f>SUMIF($D$23:$D$24,$Z$8,E23:E24)+SUMIF($D$23:$D$24,$Z$8,G23:G24)</f>
        <v>0</v>
      </c>
      <c r="AC8" s="9">
        <f>SUMIF($D$23:$D$24,$Z$8,F23:F24)+SUMIF($D$23:$D$24,$Z$8,H23:H24)</f>
        <v>0</v>
      </c>
    </row>
    <row r="9" spans="3:67" ht="30" customHeight="1">
      <c r="C9" s="153" t="s">
        <v>149</v>
      </c>
      <c r="D9" s="385"/>
      <c r="E9" s="386"/>
      <c r="F9" s="386"/>
      <c r="G9" s="386"/>
      <c r="H9" s="386"/>
      <c r="I9" s="386"/>
      <c r="J9" s="386"/>
      <c r="K9" s="386"/>
      <c r="L9" s="386"/>
      <c r="M9" s="386"/>
      <c r="N9" s="386"/>
      <c r="O9" s="387"/>
      <c r="Z9" s="2" t="s">
        <v>150</v>
      </c>
      <c r="AA9" s="20" t="s">
        <v>61</v>
      </c>
      <c r="AB9" s="9">
        <f>SUMIF($D$23:$D$24,$Z$9,E23:E24)+SUMIF($D$23:$D$24,$Z$9,G23:G24)</f>
        <v>0</v>
      </c>
      <c r="AC9" s="9">
        <f>SUMIF($D$23:$D$24,$Z$9,F23:F24)+SUMIF($D$23:$D$24,$Z$9,H23:H24)</f>
        <v>0</v>
      </c>
    </row>
    <row r="10" spans="3:67" ht="30" customHeight="1">
      <c r="C10" s="152" t="s">
        <v>151</v>
      </c>
      <c r="D10" s="385"/>
      <c r="E10" s="386"/>
      <c r="F10" s="386"/>
      <c r="G10" s="386"/>
      <c r="H10" s="386"/>
      <c r="I10" s="386"/>
      <c r="J10" s="386"/>
      <c r="K10" s="386"/>
      <c r="L10" s="386"/>
      <c r="M10" s="386"/>
      <c r="N10" s="386"/>
      <c r="O10" s="387"/>
    </row>
    <row r="11" spans="3:67" ht="30" customHeight="1">
      <c r="C11" s="152" t="s">
        <v>152</v>
      </c>
      <c r="D11" s="385"/>
      <c r="E11" s="386"/>
      <c r="F11" s="386"/>
      <c r="G11" s="386"/>
      <c r="H11" s="386"/>
      <c r="I11" s="386"/>
      <c r="J11" s="386"/>
      <c r="K11" s="386"/>
      <c r="L11" s="386"/>
      <c r="M11" s="386"/>
      <c r="N11" s="386"/>
      <c r="O11" s="387"/>
    </row>
    <row r="12" spans="3:67" ht="15.75" customHeight="1">
      <c r="C12" s="19"/>
      <c r="D12" s="19"/>
      <c r="E12" s="19"/>
      <c r="F12" s="19"/>
      <c r="G12" s="19"/>
      <c r="H12" s="19"/>
      <c r="I12" s="19"/>
      <c r="J12" s="19"/>
      <c r="K12" s="19"/>
      <c r="L12" s="19"/>
      <c r="M12" s="19"/>
      <c r="N12" s="19"/>
      <c r="O12" s="19"/>
    </row>
    <row r="13" spans="3:67" ht="15.75" customHeight="1">
      <c r="C13" s="19"/>
      <c r="D13" s="19"/>
      <c r="E13" s="19"/>
      <c r="F13" s="19"/>
      <c r="G13" s="19"/>
      <c r="H13" s="19"/>
      <c r="I13" s="19"/>
      <c r="J13" s="19"/>
      <c r="K13" s="19"/>
      <c r="L13" s="19"/>
      <c r="M13" s="19"/>
      <c r="N13" s="19"/>
      <c r="O13" s="19"/>
    </row>
    <row r="14" spans="3:67" ht="15.75" customHeight="1">
      <c r="C14" s="154" t="s">
        <v>153</v>
      </c>
      <c r="D14" s="155"/>
      <c r="E14" s="19"/>
      <c r="F14" s="19"/>
      <c r="G14" s="19"/>
      <c r="H14" s="19"/>
      <c r="I14" s="19"/>
      <c r="J14" s="19"/>
      <c r="K14" s="19"/>
      <c r="L14" s="19"/>
      <c r="M14" s="19"/>
      <c r="N14" s="19"/>
      <c r="O14" s="19"/>
    </row>
    <row r="15" spans="3:67" ht="15.75" customHeight="1" thickBot="1">
      <c r="C15" s="156" t="s">
        <v>154</v>
      </c>
      <c r="D15" s="157"/>
      <c r="E15" s="19"/>
      <c r="F15" s="19"/>
      <c r="G15" s="19"/>
      <c r="H15" s="19"/>
      <c r="I15" s="19"/>
      <c r="J15" s="19"/>
      <c r="K15" s="19"/>
      <c r="L15" s="19"/>
      <c r="M15" s="19"/>
      <c r="N15" s="19"/>
      <c r="O15" s="19"/>
      <c r="BD15" s="310" t="s">
        <v>156</v>
      </c>
      <c r="BE15" s="310"/>
      <c r="BF15" s="310"/>
      <c r="BG15" s="310"/>
      <c r="BH15" s="310"/>
      <c r="BI15" s="310"/>
      <c r="BJ15" s="310"/>
      <c r="BK15" s="310"/>
      <c r="BL15" s="310"/>
      <c r="BM15" s="310"/>
      <c r="BN15" s="310"/>
      <c r="BO15" s="310"/>
    </row>
    <row r="16" spans="3:67" ht="15" thickBot="1">
      <c r="C16" s="19"/>
      <c r="D16" s="19"/>
      <c r="E16" s="19"/>
      <c r="F16" s="19"/>
      <c r="G16" s="19"/>
      <c r="H16" s="19"/>
      <c r="I16" s="19"/>
      <c r="J16" s="19"/>
      <c r="K16" s="19"/>
      <c r="L16" s="19"/>
      <c r="M16" s="19"/>
      <c r="N16" s="19"/>
      <c r="O16" s="19"/>
      <c r="AE16" s="158" t="s">
        <v>157</v>
      </c>
      <c r="AF16" s="159"/>
      <c r="AG16" s="159"/>
      <c r="AH16" s="159"/>
      <c r="AI16" s="159"/>
      <c r="AJ16" s="159"/>
      <c r="AK16" s="160"/>
      <c r="AN16" s="403" t="s">
        <v>158</v>
      </c>
      <c r="AO16" s="404"/>
      <c r="AP16" s="404"/>
      <c r="AQ16" s="404"/>
      <c r="AR16" s="404"/>
      <c r="AS16" s="404"/>
      <c r="AT16" s="404"/>
      <c r="AU16" s="404"/>
      <c r="AV16" s="404"/>
      <c r="AW16" s="404"/>
      <c r="AX16" s="404"/>
      <c r="AY16" s="404"/>
      <c r="AZ16" s="404"/>
      <c r="BA16" s="404"/>
      <c r="BB16" s="405"/>
      <c r="BD16" s="158" t="s">
        <v>157</v>
      </c>
      <c r="BE16" s="159"/>
      <c r="BF16" s="159"/>
      <c r="BG16" s="159"/>
      <c r="BH16" s="159"/>
      <c r="BI16" s="159"/>
      <c r="BJ16" s="160"/>
      <c r="BK16" s="161"/>
      <c r="BM16" s="162" t="s">
        <v>158</v>
      </c>
      <c r="BN16" s="163"/>
      <c r="BO16" s="163"/>
    </row>
    <row r="17" spans="3:67" ht="30" customHeight="1">
      <c r="C17" s="164" t="s">
        <v>159</v>
      </c>
      <c r="D17" s="165" t="s">
        <v>160</v>
      </c>
      <c r="E17" s="371" t="s">
        <v>161</v>
      </c>
      <c r="F17" s="372"/>
      <c r="G17" s="373" t="s">
        <v>162</v>
      </c>
      <c r="H17" s="374"/>
      <c r="I17" s="375" t="s">
        <v>163</v>
      </c>
      <c r="J17" s="376"/>
      <c r="K17" s="383" t="s">
        <v>164</v>
      </c>
      <c r="L17" s="377" t="s">
        <v>165</v>
      </c>
      <c r="M17" s="377"/>
      <c r="N17" s="377"/>
      <c r="O17" s="166" t="s">
        <v>93</v>
      </c>
      <c r="V17" s="158" t="s">
        <v>165</v>
      </c>
      <c r="W17" s="159"/>
      <c r="X17" s="160"/>
      <c r="AG17" s="378" t="s">
        <v>166</v>
      </c>
      <c r="AH17" s="378"/>
      <c r="AI17" s="378"/>
      <c r="AJ17" s="378"/>
      <c r="AK17" s="378"/>
      <c r="AN17" s="379" t="s">
        <v>167</v>
      </c>
      <c r="AO17" s="380"/>
      <c r="AP17" s="380"/>
      <c r="AQ17" s="380"/>
      <c r="AR17" s="381"/>
      <c r="AS17" s="397" t="s">
        <v>168</v>
      </c>
      <c r="AT17" s="398"/>
      <c r="AU17" s="398"/>
      <c r="AV17" s="398"/>
      <c r="AW17" s="399"/>
      <c r="AX17" s="400" t="s">
        <v>163</v>
      </c>
      <c r="AY17" s="401"/>
      <c r="AZ17" s="401"/>
      <c r="BA17" s="401"/>
      <c r="BB17" s="402"/>
      <c r="BF17" s="389" t="s">
        <v>166</v>
      </c>
      <c r="BG17" s="389"/>
      <c r="BH17" s="389"/>
      <c r="BI17" s="389"/>
      <c r="BJ17" s="389"/>
      <c r="BK17" s="17"/>
      <c r="BM17" s="2" t="s">
        <v>167</v>
      </c>
      <c r="BN17" s="2" t="s">
        <v>169</v>
      </c>
      <c r="BO17" s="2" t="s">
        <v>170</v>
      </c>
    </row>
    <row r="18" spans="3:67" ht="15" customHeight="1" thickBot="1">
      <c r="C18" s="167"/>
      <c r="D18" s="168"/>
      <c r="E18" s="169" t="s">
        <v>55</v>
      </c>
      <c r="F18" s="51" t="s">
        <v>56</v>
      </c>
      <c r="G18" s="51" t="s">
        <v>55</v>
      </c>
      <c r="H18" s="51" t="s">
        <v>56</v>
      </c>
      <c r="I18" s="51" t="s">
        <v>55</v>
      </c>
      <c r="J18" s="51" t="s">
        <v>56</v>
      </c>
      <c r="K18" s="384"/>
      <c r="L18" s="168" t="s">
        <v>4</v>
      </c>
      <c r="M18" s="168" t="s">
        <v>171</v>
      </c>
      <c r="N18" s="170" t="s">
        <v>172</v>
      </c>
      <c r="O18" s="171"/>
      <c r="V18" s="9" t="s">
        <v>173</v>
      </c>
      <c r="W18" s="9"/>
      <c r="X18" s="9" t="s">
        <v>174</v>
      </c>
      <c r="AG18" s="65" t="s">
        <v>176</v>
      </c>
      <c r="AH18" s="65" t="s">
        <v>177</v>
      </c>
      <c r="AI18" s="65" t="s">
        <v>178</v>
      </c>
      <c r="AJ18" s="65" t="s">
        <v>179</v>
      </c>
      <c r="AK18" s="65" t="s">
        <v>180</v>
      </c>
      <c r="AN18" s="172" t="s">
        <v>176</v>
      </c>
      <c r="AO18" s="173" t="s">
        <v>177</v>
      </c>
      <c r="AP18" s="173" t="s">
        <v>178</v>
      </c>
      <c r="AQ18" s="173" t="s">
        <v>179</v>
      </c>
      <c r="AR18" s="174" t="s">
        <v>180</v>
      </c>
      <c r="AS18" s="172" t="s">
        <v>176</v>
      </c>
      <c r="AT18" s="173" t="s">
        <v>177</v>
      </c>
      <c r="AU18" s="173" t="s">
        <v>178</v>
      </c>
      <c r="AV18" s="173" t="s">
        <v>179</v>
      </c>
      <c r="AW18" s="174" t="s">
        <v>180</v>
      </c>
      <c r="AX18" s="175" t="s">
        <v>176</v>
      </c>
      <c r="AY18" s="173" t="s">
        <v>177</v>
      </c>
      <c r="AZ18" s="173" t="s">
        <v>178</v>
      </c>
      <c r="BA18" s="173" t="s">
        <v>179</v>
      </c>
      <c r="BB18" s="174" t="s">
        <v>180</v>
      </c>
      <c r="BF18" s="65" t="s">
        <v>176</v>
      </c>
      <c r="BG18" s="65" t="s">
        <v>177</v>
      </c>
      <c r="BH18" s="65" t="s">
        <v>178</v>
      </c>
      <c r="BI18" s="65" t="s">
        <v>179</v>
      </c>
      <c r="BJ18" s="65" t="s">
        <v>180</v>
      </c>
      <c r="BK18" s="176"/>
      <c r="BM18" s="2" t="s">
        <v>181</v>
      </c>
      <c r="BN18" s="2" t="s">
        <v>181</v>
      </c>
      <c r="BO18" s="2" t="s">
        <v>181</v>
      </c>
    </row>
    <row r="19" spans="3:67">
      <c r="C19" s="177" t="s">
        <v>182</v>
      </c>
      <c r="D19" s="141" t="s">
        <v>188</v>
      </c>
      <c r="E19" s="138"/>
      <c r="F19" s="138"/>
      <c r="G19" s="138"/>
      <c r="H19" s="138"/>
      <c r="I19" s="138"/>
      <c r="J19" s="138"/>
      <c r="K19" s="138"/>
      <c r="L19" s="20" t="str">
        <f t="shared" ref="L19:L24" si="0">IF(VLOOKUP(D19,$AK$133:$AO$151,AN$131,FALSE)=0,"",VLOOKUP(D19,$AK$133:$AO$151,AN$131,FALSE))</f>
        <v/>
      </c>
      <c r="M19" s="138"/>
      <c r="N19" s="178" t="str">
        <f t="shared" ref="N19:N24" si="1">IF(VLOOKUP(D19,$AK$133:$AO$151,AO$131,FALSE)=0,"",VLOOKUP(D19,$AK$133:$AO$151,AO$131,FALSE))</f>
        <v/>
      </c>
      <c r="O19" s="139"/>
      <c r="V19" s="9">
        <f t="shared" ref="V19:V27" si="2">IF(OR(D19=$AK$143,D19=$AK$144),1,0)</f>
        <v>0</v>
      </c>
      <c r="W19" s="9">
        <f t="shared" ref="W19:W27" si="3">IF(D19=$AK$133,0,1)</f>
        <v>0</v>
      </c>
      <c r="X19" s="9">
        <f t="shared" ref="X19:X27" si="4">IF(AND(N19&lt;&gt;"",N19&lt;&gt;$AS$137),1,0)</f>
        <v>0</v>
      </c>
      <c r="AE19" s="9" t="str">
        <f t="shared" ref="AE19:AE24" si="5">VLOOKUP(D19,$AK$133:$AX$151,$AW$131,FALSE)</f>
        <v>tom</v>
      </c>
      <c r="AF19" s="9" t="str">
        <f t="shared" ref="AF19:AF24" si="6">IF(OR(D19=$AK$143,D19=$AK$144),AE19&amp;", "&amp;K19,AE19)</f>
        <v>tom</v>
      </c>
      <c r="AG19" s="66">
        <f>VLOOKUP($AF19,Utslippsdata!$B$20:$H$46,Utslippsdata!C$16,FALSE)</f>
        <v>0</v>
      </c>
      <c r="AH19" s="66">
        <f>VLOOKUP($AF19,Utslippsdata!$B$20:$H$46,Utslippsdata!D$16,FALSE)</f>
        <v>0</v>
      </c>
      <c r="AI19" s="66">
        <f>VLOOKUP($AF19,Utslippsdata!$B$20:$H$46,Utslippsdata!E$16,FALSE)</f>
        <v>0</v>
      </c>
      <c r="AJ19" s="66">
        <f>VLOOKUP($AF19,Utslippsdata!$B$20:$H$46,Utslippsdata!F$16,FALSE)</f>
        <v>0</v>
      </c>
      <c r="AK19" s="66">
        <f>VLOOKUP($AF19,Utslippsdata!$B$20:$H$46,Utslippsdata!G$16,FALSE)</f>
        <v>0</v>
      </c>
      <c r="AM19" s="179" t="str">
        <f t="shared" ref="AM19:AM24" si="7">AE19</f>
        <v>tom</v>
      </c>
      <c r="AN19" s="180">
        <f t="shared" ref="AN19:AR24" si="8">$F19*AG19</f>
        <v>0</v>
      </c>
      <c r="AO19" s="180">
        <f t="shared" si="8"/>
        <v>0</v>
      </c>
      <c r="AP19" s="180">
        <f t="shared" si="8"/>
        <v>0</v>
      </c>
      <c r="AQ19" s="180">
        <f t="shared" si="8"/>
        <v>0</v>
      </c>
      <c r="AR19" s="181">
        <f t="shared" si="8"/>
        <v>0</v>
      </c>
      <c r="AS19" s="182">
        <f t="shared" ref="AS19:AW24" si="9">$H19*AG19</f>
        <v>0</v>
      </c>
      <c r="AT19" s="183">
        <f t="shared" si="9"/>
        <v>0</v>
      </c>
      <c r="AU19" s="183">
        <f t="shared" si="9"/>
        <v>0</v>
      </c>
      <c r="AV19" s="183">
        <f t="shared" si="9"/>
        <v>0</v>
      </c>
      <c r="AW19" s="184">
        <f t="shared" si="9"/>
        <v>0</v>
      </c>
      <c r="AX19" s="180">
        <f t="shared" ref="AX19:BB24" si="10">$J19*AG19</f>
        <v>0</v>
      </c>
      <c r="AY19" s="180">
        <f t="shared" si="10"/>
        <v>0</v>
      </c>
      <c r="AZ19" s="180">
        <f t="shared" si="10"/>
        <v>0</v>
      </c>
      <c r="BA19" s="180">
        <f t="shared" si="10"/>
        <v>0</v>
      </c>
      <c r="BB19" s="180">
        <f t="shared" si="10"/>
        <v>0</v>
      </c>
      <c r="BD19" s="9" t="str">
        <f>VLOOKUP(D19,$AK$133:$AX$151,$AW$131,FALSE)</f>
        <v>tom</v>
      </c>
      <c r="BE19" s="9" t="str">
        <f t="shared" ref="BE19:BE24" si="11">IF(OR(AC19=$AK$143,AC19=$AK$144),BD19&amp;", "&amp;AJ19,BD19)</f>
        <v>tom</v>
      </c>
      <c r="BF19" s="66">
        <f>VLOOKUP($AF19,Utslippsdata!$BJ$20:$BP$46,Utslippsdata!C$16,FALSE)</f>
        <v>0</v>
      </c>
      <c r="BG19" s="66">
        <f>VLOOKUP($AF19,Utslippsdata!$BJ$20:$BP$46,Utslippsdata!D$16,FALSE)</f>
        <v>0</v>
      </c>
      <c r="BH19" s="66">
        <f>VLOOKUP($AF19,Utslippsdata!$BJ$20:$BP$46,Utslippsdata!E$16,FALSE)</f>
        <v>0</v>
      </c>
      <c r="BI19" s="66">
        <f>VLOOKUP($AF19,Utslippsdata!$BJ$20:$BP$46,Utslippsdata!F$16,FALSE)</f>
        <v>0</v>
      </c>
      <c r="BJ19" s="66">
        <f>VLOOKUP($AF19,Utslippsdata!$BJ$20:$BP$46,Utslippsdata!G$16,FALSE)</f>
        <v>0</v>
      </c>
      <c r="BK19" s="133"/>
      <c r="BL19" s="2" t="str">
        <f>AM19</f>
        <v>tom</v>
      </c>
      <c r="BM19" s="2">
        <f>$F19*(BF19+BG19+BI19)</f>
        <v>0</v>
      </c>
      <c r="BN19" s="2">
        <f>$H19*(BF19+BG19+BI19)</f>
        <v>0</v>
      </c>
      <c r="BO19" s="2">
        <f>BN19+BM19</f>
        <v>0</v>
      </c>
    </row>
    <row r="20" spans="3:67">
      <c r="C20" s="20" t="s">
        <v>184</v>
      </c>
      <c r="D20" s="130" t="s">
        <v>188</v>
      </c>
      <c r="E20" s="138"/>
      <c r="F20" s="138"/>
      <c r="G20" s="138"/>
      <c r="H20" s="138"/>
      <c r="I20" s="138"/>
      <c r="J20" s="138">
        <v>0</v>
      </c>
      <c r="K20" s="138"/>
      <c r="L20" s="20" t="str">
        <f t="shared" si="0"/>
        <v/>
      </c>
      <c r="M20" s="138"/>
      <c r="N20" s="178" t="str">
        <f t="shared" si="1"/>
        <v/>
      </c>
      <c r="O20" s="139"/>
      <c r="V20" s="9">
        <f t="shared" si="2"/>
        <v>0</v>
      </c>
      <c r="W20" s="9">
        <f t="shared" si="3"/>
        <v>0</v>
      </c>
      <c r="X20" s="9">
        <f t="shared" si="4"/>
        <v>0</v>
      </c>
      <c r="AE20" s="9" t="str">
        <f t="shared" si="5"/>
        <v>tom</v>
      </c>
      <c r="AF20" s="9" t="str">
        <f t="shared" si="6"/>
        <v>tom</v>
      </c>
      <c r="AG20" s="66">
        <f>VLOOKUP($AF20,Utslippsdata!$B$20:$H$46,Utslippsdata!C$16,FALSE)</f>
        <v>0</v>
      </c>
      <c r="AH20" s="66">
        <f>VLOOKUP($AF20,Utslippsdata!$B$20:$H$46,Utslippsdata!D$16,FALSE)</f>
        <v>0</v>
      </c>
      <c r="AI20" s="66">
        <f>VLOOKUP($AF20,Utslippsdata!$B$20:$H$46,Utslippsdata!E$16,FALSE)</f>
        <v>0</v>
      </c>
      <c r="AJ20" s="66">
        <f>VLOOKUP($AF20,Utslippsdata!$B$20:$H$46,Utslippsdata!F$16,FALSE)</f>
        <v>0</v>
      </c>
      <c r="AK20" s="66">
        <f>VLOOKUP($AF20,Utslippsdata!$B$20:$H$46,Utslippsdata!G$16,FALSE)</f>
        <v>0</v>
      </c>
      <c r="AM20" s="185" t="str">
        <f t="shared" si="7"/>
        <v>tom</v>
      </c>
      <c r="AN20" s="180">
        <f t="shared" si="8"/>
        <v>0</v>
      </c>
      <c r="AO20" s="180">
        <f t="shared" si="8"/>
        <v>0</v>
      </c>
      <c r="AP20" s="180">
        <f t="shared" si="8"/>
        <v>0</v>
      </c>
      <c r="AQ20" s="180">
        <f t="shared" si="8"/>
        <v>0</v>
      </c>
      <c r="AR20" s="181">
        <f t="shared" si="8"/>
        <v>0</v>
      </c>
      <c r="AS20" s="186">
        <f t="shared" si="9"/>
        <v>0</v>
      </c>
      <c r="AT20" s="180">
        <f t="shared" si="9"/>
        <v>0</v>
      </c>
      <c r="AU20" s="180">
        <f t="shared" si="9"/>
        <v>0</v>
      </c>
      <c r="AV20" s="180">
        <f t="shared" si="9"/>
        <v>0</v>
      </c>
      <c r="AW20" s="187">
        <f t="shared" si="9"/>
        <v>0</v>
      </c>
      <c r="AX20" s="180">
        <f t="shared" si="10"/>
        <v>0</v>
      </c>
      <c r="AY20" s="180">
        <f t="shared" si="10"/>
        <v>0</v>
      </c>
      <c r="AZ20" s="180">
        <f t="shared" si="10"/>
        <v>0</v>
      </c>
      <c r="BA20" s="180">
        <f t="shared" si="10"/>
        <v>0</v>
      </c>
      <c r="BB20" s="180">
        <f t="shared" si="10"/>
        <v>0</v>
      </c>
      <c r="BD20" s="9" t="str">
        <f t="shared" ref="BD20:BD24" si="12">VLOOKUP(D20,$AK$133:$AX$151,$AW$131,FALSE)</f>
        <v>tom</v>
      </c>
      <c r="BE20" s="9" t="str">
        <f t="shared" si="11"/>
        <v>tom</v>
      </c>
      <c r="BF20" s="66">
        <f>VLOOKUP($AF20,Utslippsdata!$BJ$20:$BP$46,Utslippsdata!C$16,FALSE)</f>
        <v>0</v>
      </c>
      <c r="BG20" s="66">
        <f>VLOOKUP($AF20,Utslippsdata!$BJ$20:$BP$46,Utslippsdata!D$16,FALSE)</f>
        <v>0</v>
      </c>
      <c r="BH20" s="66">
        <f>VLOOKUP($AF20,Utslippsdata!$BJ$20:$BP$46,Utslippsdata!E$16,FALSE)</f>
        <v>0</v>
      </c>
      <c r="BI20" s="66">
        <f>VLOOKUP($AF20,Utslippsdata!$BJ$20:$BP$46,Utslippsdata!F$16,FALSE)</f>
        <v>0</v>
      </c>
      <c r="BJ20" s="66">
        <f>VLOOKUP($AF20,Utslippsdata!$BJ$20:$BP$46,Utslippsdata!G$16,FALSE)</f>
        <v>0</v>
      </c>
      <c r="BK20" s="133"/>
      <c r="BL20" s="2" t="str">
        <f t="shared" ref="BL20:BL24" si="13">AM20</f>
        <v>tom</v>
      </c>
      <c r="BM20" s="2">
        <f>$F20*(BF20+BG20+BI20)</f>
        <v>0</v>
      </c>
      <c r="BN20" s="2">
        <f>$H20*(BF20+BG20+BI20)</f>
        <v>0</v>
      </c>
      <c r="BO20" s="2">
        <f>BN20+BM20</f>
        <v>0</v>
      </c>
    </row>
    <row r="21" spans="3:67">
      <c r="C21" s="20" t="s">
        <v>186</v>
      </c>
      <c r="D21" s="130" t="s">
        <v>188</v>
      </c>
      <c r="E21" s="138"/>
      <c r="F21" s="138"/>
      <c r="G21" s="138"/>
      <c r="H21" s="138"/>
      <c r="I21" s="138"/>
      <c r="J21" s="138"/>
      <c r="K21" s="138"/>
      <c r="L21" s="20" t="str">
        <f t="shared" si="0"/>
        <v/>
      </c>
      <c r="M21" s="138"/>
      <c r="N21" s="178" t="str">
        <f t="shared" si="1"/>
        <v/>
      </c>
      <c r="O21" s="139"/>
      <c r="V21" s="9">
        <f t="shared" si="2"/>
        <v>0</v>
      </c>
      <c r="W21" s="9">
        <f t="shared" si="3"/>
        <v>0</v>
      </c>
      <c r="X21" s="9">
        <f t="shared" si="4"/>
        <v>0</v>
      </c>
      <c r="AE21" s="9" t="str">
        <f t="shared" si="5"/>
        <v>tom</v>
      </c>
      <c r="AF21" s="9" t="str">
        <f t="shared" si="6"/>
        <v>tom</v>
      </c>
      <c r="AG21" s="66">
        <f>VLOOKUP($AF21,Utslippsdata!$B$20:$H$46,Utslippsdata!C$16,FALSE)</f>
        <v>0</v>
      </c>
      <c r="AH21" s="66">
        <f>VLOOKUP($AF21,Utslippsdata!$B$20:$H$46,Utslippsdata!D$16,FALSE)</f>
        <v>0</v>
      </c>
      <c r="AI21" s="66">
        <f>VLOOKUP($AF21,Utslippsdata!$B$20:$H$46,Utslippsdata!E$16,FALSE)</f>
        <v>0</v>
      </c>
      <c r="AJ21" s="66">
        <f>VLOOKUP($AF21,Utslippsdata!$B$20:$H$46,Utslippsdata!F$16,FALSE)</f>
        <v>0</v>
      </c>
      <c r="AK21" s="66">
        <f>VLOOKUP($AF21,Utslippsdata!$B$20:$H$46,Utslippsdata!G$16,FALSE)</f>
        <v>0</v>
      </c>
      <c r="AM21" s="185" t="str">
        <f t="shared" si="7"/>
        <v>tom</v>
      </c>
      <c r="AN21" s="180">
        <f t="shared" si="8"/>
        <v>0</v>
      </c>
      <c r="AO21" s="180">
        <f t="shared" si="8"/>
        <v>0</v>
      </c>
      <c r="AP21" s="180">
        <f t="shared" si="8"/>
        <v>0</v>
      </c>
      <c r="AQ21" s="180">
        <f t="shared" si="8"/>
        <v>0</v>
      </c>
      <c r="AR21" s="181">
        <f t="shared" si="8"/>
        <v>0</v>
      </c>
      <c r="AS21" s="186">
        <f t="shared" si="9"/>
        <v>0</v>
      </c>
      <c r="AT21" s="180">
        <f t="shared" si="9"/>
        <v>0</v>
      </c>
      <c r="AU21" s="180">
        <f t="shared" si="9"/>
        <v>0</v>
      </c>
      <c r="AV21" s="180">
        <f t="shared" si="9"/>
        <v>0</v>
      </c>
      <c r="AW21" s="187">
        <f t="shared" si="9"/>
        <v>0</v>
      </c>
      <c r="AX21" s="180">
        <f t="shared" si="10"/>
        <v>0</v>
      </c>
      <c r="AY21" s="180">
        <f t="shared" si="10"/>
        <v>0</v>
      </c>
      <c r="AZ21" s="180">
        <f t="shared" si="10"/>
        <v>0</v>
      </c>
      <c r="BA21" s="180">
        <f t="shared" si="10"/>
        <v>0</v>
      </c>
      <c r="BB21" s="180">
        <f t="shared" si="10"/>
        <v>0</v>
      </c>
      <c r="BD21" s="9" t="str">
        <f t="shared" si="12"/>
        <v>tom</v>
      </c>
      <c r="BE21" s="9" t="str">
        <f t="shared" si="11"/>
        <v>tom</v>
      </c>
      <c r="BF21" s="66">
        <f>VLOOKUP($AF21,Utslippsdata!$BJ$20:$BP$46,Utslippsdata!C$16,FALSE)</f>
        <v>0</v>
      </c>
      <c r="BG21" s="66">
        <f>VLOOKUP($AF21,Utslippsdata!$BJ$20:$BP$46,Utslippsdata!D$16,FALSE)</f>
        <v>0</v>
      </c>
      <c r="BH21" s="66">
        <f>VLOOKUP($AF21,Utslippsdata!$BJ$20:$BP$46,Utslippsdata!E$16,FALSE)</f>
        <v>0</v>
      </c>
      <c r="BI21" s="66">
        <f>VLOOKUP($AF21,Utslippsdata!$BJ$20:$BP$46,Utslippsdata!F$16,FALSE)</f>
        <v>0</v>
      </c>
      <c r="BJ21" s="66">
        <f>VLOOKUP($AF21,Utslippsdata!$BJ$20:$BP$46,Utslippsdata!G$16,FALSE)</f>
        <v>0</v>
      </c>
      <c r="BK21" s="133"/>
      <c r="BL21" s="2" t="str">
        <f t="shared" si="13"/>
        <v>tom</v>
      </c>
      <c r="BM21" s="2">
        <f t="shared" ref="BM21:BM24" si="14">$F21*(BF21+BG21+BI21)</f>
        <v>0</v>
      </c>
      <c r="BN21" s="2">
        <f t="shared" ref="BN21:BN24" si="15">$H21*(BF21+BG21+BI21)</f>
        <v>0</v>
      </c>
      <c r="BO21" s="2">
        <f t="shared" ref="BO21:BO24" si="16">BN21+BM21</f>
        <v>0</v>
      </c>
    </row>
    <row r="22" spans="3:67">
      <c r="C22" s="20" t="s">
        <v>187</v>
      </c>
      <c r="D22" s="130" t="s">
        <v>188</v>
      </c>
      <c r="E22" s="138"/>
      <c r="F22" s="138"/>
      <c r="G22" s="138"/>
      <c r="H22" s="138"/>
      <c r="I22" s="138"/>
      <c r="J22" s="138"/>
      <c r="K22" s="138"/>
      <c r="L22" s="20" t="str">
        <f t="shared" si="0"/>
        <v/>
      </c>
      <c r="M22" s="138"/>
      <c r="N22" s="178" t="str">
        <f t="shared" si="1"/>
        <v/>
      </c>
      <c r="O22" s="139"/>
      <c r="V22" s="9">
        <f t="shared" si="2"/>
        <v>0</v>
      </c>
      <c r="W22" s="9">
        <f t="shared" si="3"/>
        <v>0</v>
      </c>
      <c r="X22" s="9">
        <f t="shared" si="4"/>
        <v>0</v>
      </c>
      <c r="AE22" s="9" t="str">
        <f t="shared" si="5"/>
        <v>tom</v>
      </c>
      <c r="AF22" s="9" t="str">
        <f t="shared" si="6"/>
        <v>tom</v>
      </c>
      <c r="AG22" s="66">
        <f>VLOOKUP($AF22,Utslippsdata!$B$20:$H$46,Utslippsdata!C$16,FALSE)</f>
        <v>0</v>
      </c>
      <c r="AH22" s="66">
        <f>VLOOKUP($AF22,Utslippsdata!$B$20:$H$46,Utslippsdata!D$16,FALSE)</f>
        <v>0</v>
      </c>
      <c r="AI22" s="66">
        <f>VLOOKUP($AF22,Utslippsdata!$B$20:$H$46,Utslippsdata!E$16,FALSE)</f>
        <v>0</v>
      </c>
      <c r="AJ22" s="66">
        <f>VLOOKUP($AF22,Utslippsdata!$B$20:$H$46,Utslippsdata!F$16,FALSE)</f>
        <v>0</v>
      </c>
      <c r="AK22" s="66">
        <f>VLOOKUP($AF22,Utslippsdata!$B$20:$H$46,Utslippsdata!G$16,FALSE)</f>
        <v>0</v>
      </c>
      <c r="AM22" s="185" t="str">
        <f t="shared" si="7"/>
        <v>tom</v>
      </c>
      <c r="AN22" s="180">
        <f t="shared" si="8"/>
        <v>0</v>
      </c>
      <c r="AO22" s="180">
        <f t="shared" si="8"/>
        <v>0</v>
      </c>
      <c r="AP22" s="180">
        <f t="shared" si="8"/>
        <v>0</v>
      </c>
      <c r="AQ22" s="180">
        <f t="shared" si="8"/>
        <v>0</v>
      </c>
      <c r="AR22" s="181">
        <f t="shared" si="8"/>
        <v>0</v>
      </c>
      <c r="AS22" s="186">
        <f t="shared" si="9"/>
        <v>0</v>
      </c>
      <c r="AT22" s="180">
        <f t="shared" si="9"/>
        <v>0</v>
      </c>
      <c r="AU22" s="180">
        <f t="shared" si="9"/>
        <v>0</v>
      </c>
      <c r="AV22" s="180">
        <f t="shared" si="9"/>
        <v>0</v>
      </c>
      <c r="AW22" s="187">
        <f t="shared" si="9"/>
        <v>0</v>
      </c>
      <c r="AX22" s="180">
        <f t="shared" si="10"/>
        <v>0</v>
      </c>
      <c r="AY22" s="180">
        <f t="shared" si="10"/>
        <v>0</v>
      </c>
      <c r="AZ22" s="180">
        <f t="shared" si="10"/>
        <v>0</v>
      </c>
      <c r="BA22" s="180">
        <f t="shared" si="10"/>
        <v>0</v>
      </c>
      <c r="BB22" s="180">
        <f t="shared" si="10"/>
        <v>0</v>
      </c>
      <c r="BD22" s="9" t="str">
        <f t="shared" si="12"/>
        <v>tom</v>
      </c>
      <c r="BE22" s="9" t="str">
        <f t="shared" si="11"/>
        <v>tom</v>
      </c>
      <c r="BF22" s="66">
        <f>VLOOKUP($AF22,Utslippsdata!$BJ$20:$BP$46,Utslippsdata!C$16,FALSE)</f>
        <v>0</v>
      </c>
      <c r="BG22" s="66">
        <f>VLOOKUP($AF22,Utslippsdata!$BJ$20:$BP$46,Utslippsdata!D$16,FALSE)</f>
        <v>0</v>
      </c>
      <c r="BH22" s="66">
        <f>VLOOKUP($AF22,Utslippsdata!$BJ$20:$BP$46,Utslippsdata!E$16,FALSE)</f>
        <v>0</v>
      </c>
      <c r="BI22" s="66">
        <f>VLOOKUP($AF22,Utslippsdata!$BJ$20:$BP$46,Utslippsdata!F$16,FALSE)</f>
        <v>0</v>
      </c>
      <c r="BJ22" s="66">
        <f>VLOOKUP($AF22,Utslippsdata!$BJ$20:$BP$46,Utslippsdata!G$16,FALSE)</f>
        <v>0</v>
      </c>
      <c r="BK22" s="133"/>
      <c r="BL22" s="2" t="str">
        <f t="shared" si="13"/>
        <v>tom</v>
      </c>
      <c r="BM22" s="2">
        <f t="shared" si="14"/>
        <v>0</v>
      </c>
      <c r="BN22" s="2">
        <f t="shared" si="15"/>
        <v>0</v>
      </c>
      <c r="BO22" s="2">
        <f t="shared" si="16"/>
        <v>0</v>
      </c>
    </row>
    <row r="23" spans="3:67">
      <c r="C23" s="20" t="s">
        <v>189</v>
      </c>
      <c r="D23" s="130" t="s">
        <v>188</v>
      </c>
      <c r="E23" s="138"/>
      <c r="F23" s="138"/>
      <c r="G23" s="138"/>
      <c r="H23" s="138"/>
      <c r="I23" s="138"/>
      <c r="J23" s="138"/>
      <c r="K23" s="138"/>
      <c r="L23" s="20" t="str">
        <f t="shared" si="0"/>
        <v/>
      </c>
      <c r="M23" s="138"/>
      <c r="N23" s="178" t="str">
        <f t="shared" si="1"/>
        <v/>
      </c>
      <c r="O23" s="139"/>
      <c r="V23" s="9">
        <f t="shared" si="2"/>
        <v>0</v>
      </c>
      <c r="W23" s="9">
        <f t="shared" si="3"/>
        <v>0</v>
      </c>
      <c r="X23" s="9">
        <f t="shared" si="4"/>
        <v>0</v>
      </c>
      <c r="AE23" s="9" t="str">
        <f t="shared" si="5"/>
        <v>tom</v>
      </c>
      <c r="AF23" s="9" t="str">
        <f t="shared" si="6"/>
        <v>tom</v>
      </c>
      <c r="AG23" s="66">
        <f>VLOOKUP($AF23,Utslippsdata!$B$20:$H$46,Utslippsdata!C$16,FALSE)</f>
        <v>0</v>
      </c>
      <c r="AH23" s="66">
        <f>VLOOKUP($AF23,Utslippsdata!$B$20:$H$46,Utslippsdata!D$16,FALSE)</f>
        <v>0</v>
      </c>
      <c r="AI23" s="66">
        <f>VLOOKUP($AF23,Utslippsdata!$B$20:$H$46,Utslippsdata!E$16,FALSE)</f>
        <v>0</v>
      </c>
      <c r="AJ23" s="66">
        <f>VLOOKUP($AF23,Utslippsdata!$B$20:$H$46,Utslippsdata!F$16,FALSE)</f>
        <v>0</v>
      </c>
      <c r="AK23" s="66">
        <f>VLOOKUP($AF23,Utslippsdata!$B$20:$H$46,Utslippsdata!G$16,FALSE)</f>
        <v>0</v>
      </c>
      <c r="AM23" s="185" t="str">
        <f t="shared" si="7"/>
        <v>tom</v>
      </c>
      <c r="AN23" s="180">
        <f t="shared" si="8"/>
        <v>0</v>
      </c>
      <c r="AO23" s="180">
        <f t="shared" si="8"/>
        <v>0</v>
      </c>
      <c r="AP23" s="180">
        <f t="shared" si="8"/>
        <v>0</v>
      </c>
      <c r="AQ23" s="180">
        <f t="shared" si="8"/>
        <v>0</v>
      </c>
      <c r="AR23" s="181">
        <f t="shared" si="8"/>
        <v>0</v>
      </c>
      <c r="AS23" s="186">
        <f t="shared" si="9"/>
        <v>0</v>
      </c>
      <c r="AT23" s="180">
        <f t="shared" si="9"/>
        <v>0</v>
      </c>
      <c r="AU23" s="180">
        <f t="shared" si="9"/>
        <v>0</v>
      </c>
      <c r="AV23" s="180">
        <f t="shared" si="9"/>
        <v>0</v>
      </c>
      <c r="AW23" s="187">
        <f t="shared" si="9"/>
        <v>0</v>
      </c>
      <c r="AX23" s="180">
        <f t="shared" si="10"/>
        <v>0</v>
      </c>
      <c r="AY23" s="180">
        <f t="shared" si="10"/>
        <v>0</v>
      </c>
      <c r="AZ23" s="180">
        <f t="shared" si="10"/>
        <v>0</v>
      </c>
      <c r="BA23" s="180">
        <f t="shared" si="10"/>
        <v>0</v>
      </c>
      <c r="BB23" s="180">
        <f t="shared" si="10"/>
        <v>0</v>
      </c>
      <c r="BD23" s="9" t="str">
        <f t="shared" si="12"/>
        <v>tom</v>
      </c>
      <c r="BE23" s="9" t="str">
        <f t="shared" si="11"/>
        <v>tom</v>
      </c>
      <c r="BF23" s="66">
        <f>VLOOKUP($AF23,Utslippsdata!$BJ$20:$BP$46,Utslippsdata!C$16,FALSE)</f>
        <v>0</v>
      </c>
      <c r="BG23" s="66">
        <f>VLOOKUP($AF23,Utslippsdata!$BJ$20:$BP$46,Utslippsdata!D$16,FALSE)</f>
        <v>0</v>
      </c>
      <c r="BH23" s="66">
        <f>VLOOKUP($AF23,Utslippsdata!$BJ$20:$BP$46,Utslippsdata!E$16,FALSE)</f>
        <v>0</v>
      </c>
      <c r="BI23" s="66">
        <f>VLOOKUP($AF23,Utslippsdata!$BJ$20:$BP$46,Utslippsdata!F$16,FALSE)</f>
        <v>0</v>
      </c>
      <c r="BJ23" s="66">
        <f>VLOOKUP($AF23,Utslippsdata!$BJ$20:$BP$46,Utslippsdata!G$16,FALSE)</f>
        <v>0</v>
      </c>
      <c r="BK23" s="133"/>
      <c r="BL23" s="2" t="str">
        <f t="shared" si="13"/>
        <v>tom</v>
      </c>
      <c r="BM23" s="2">
        <f t="shared" si="14"/>
        <v>0</v>
      </c>
      <c r="BN23" s="2">
        <f t="shared" si="15"/>
        <v>0</v>
      </c>
      <c r="BO23" s="2">
        <f t="shared" si="16"/>
        <v>0</v>
      </c>
    </row>
    <row r="24" spans="3:67">
      <c r="C24" s="20" t="s">
        <v>190</v>
      </c>
      <c r="D24" s="130" t="s">
        <v>188</v>
      </c>
      <c r="E24" s="138"/>
      <c r="F24" s="138"/>
      <c r="G24" s="138"/>
      <c r="H24" s="138"/>
      <c r="I24" s="138"/>
      <c r="J24" s="138"/>
      <c r="K24" s="138"/>
      <c r="L24" s="20" t="str">
        <f t="shared" si="0"/>
        <v/>
      </c>
      <c r="M24" s="138"/>
      <c r="N24" s="178" t="str">
        <f t="shared" si="1"/>
        <v/>
      </c>
      <c r="O24" s="139"/>
      <c r="V24" s="9">
        <f t="shared" si="2"/>
        <v>0</v>
      </c>
      <c r="W24" s="9">
        <f t="shared" si="3"/>
        <v>0</v>
      </c>
      <c r="X24" s="9">
        <f t="shared" si="4"/>
        <v>0</v>
      </c>
      <c r="AE24" s="9" t="str">
        <f t="shared" si="5"/>
        <v>tom</v>
      </c>
      <c r="AF24" s="9" t="str">
        <f t="shared" si="6"/>
        <v>tom</v>
      </c>
      <c r="AG24" s="66">
        <f>VLOOKUP($AF24,Utslippsdata!$B$20:$H$46,Utslippsdata!C$16,FALSE)</f>
        <v>0</v>
      </c>
      <c r="AH24" s="66">
        <f>VLOOKUP($AF24,Utslippsdata!$B$20:$H$46,Utslippsdata!D$16,FALSE)</f>
        <v>0</v>
      </c>
      <c r="AI24" s="66">
        <f>VLOOKUP($AF24,Utslippsdata!$B$20:$H$46,Utslippsdata!E$16,FALSE)</f>
        <v>0</v>
      </c>
      <c r="AJ24" s="66">
        <f>VLOOKUP($AF24,Utslippsdata!$B$20:$H$46,Utslippsdata!F$16,FALSE)</f>
        <v>0</v>
      </c>
      <c r="AK24" s="66">
        <f>VLOOKUP($AF24,Utslippsdata!$B$20:$H$46,Utslippsdata!G$16,FALSE)</f>
        <v>0</v>
      </c>
      <c r="AM24" s="185" t="str">
        <f t="shared" si="7"/>
        <v>tom</v>
      </c>
      <c r="AN24" s="180">
        <f t="shared" si="8"/>
        <v>0</v>
      </c>
      <c r="AO24" s="180">
        <f t="shared" si="8"/>
        <v>0</v>
      </c>
      <c r="AP24" s="180">
        <f t="shared" si="8"/>
        <v>0</v>
      </c>
      <c r="AQ24" s="180">
        <f t="shared" si="8"/>
        <v>0</v>
      </c>
      <c r="AR24" s="181">
        <f t="shared" si="8"/>
        <v>0</v>
      </c>
      <c r="AS24" s="186">
        <f t="shared" si="9"/>
        <v>0</v>
      </c>
      <c r="AT24" s="180">
        <f t="shared" si="9"/>
        <v>0</v>
      </c>
      <c r="AU24" s="180">
        <f t="shared" si="9"/>
        <v>0</v>
      </c>
      <c r="AV24" s="180">
        <f t="shared" si="9"/>
        <v>0</v>
      </c>
      <c r="AW24" s="187">
        <f t="shared" si="9"/>
        <v>0</v>
      </c>
      <c r="AX24" s="180">
        <f t="shared" si="10"/>
        <v>0</v>
      </c>
      <c r="AY24" s="180">
        <f t="shared" si="10"/>
        <v>0</v>
      </c>
      <c r="AZ24" s="180">
        <f t="shared" si="10"/>
        <v>0</v>
      </c>
      <c r="BA24" s="180">
        <f t="shared" si="10"/>
        <v>0</v>
      </c>
      <c r="BB24" s="180">
        <f t="shared" si="10"/>
        <v>0</v>
      </c>
      <c r="BD24" s="9" t="str">
        <f t="shared" si="12"/>
        <v>tom</v>
      </c>
      <c r="BE24" s="9" t="str">
        <f t="shared" si="11"/>
        <v>tom</v>
      </c>
      <c r="BF24" s="66">
        <f>VLOOKUP($AF24,Utslippsdata!$BJ$20:$BP$46,Utslippsdata!C$16,FALSE)</f>
        <v>0</v>
      </c>
      <c r="BG24" s="66">
        <f>VLOOKUP($AF24,Utslippsdata!$BJ$20:$BP$46,Utslippsdata!D$16,FALSE)</f>
        <v>0</v>
      </c>
      <c r="BH24" s="66">
        <f>VLOOKUP($AF24,Utslippsdata!$BJ$20:$BP$46,Utslippsdata!E$16,FALSE)</f>
        <v>0</v>
      </c>
      <c r="BI24" s="66">
        <f>VLOOKUP($AF24,Utslippsdata!$BJ$20:$BP$46,Utslippsdata!F$16,FALSE)</f>
        <v>0</v>
      </c>
      <c r="BJ24" s="66">
        <f>VLOOKUP($AF24,Utslippsdata!$BJ$20:$BP$46,Utslippsdata!G$16,FALSE)</f>
        <v>0</v>
      </c>
      <c r="BK24" s="133"/>
      <c r="BL24" s="2" t="str">
        <f t="shared" si="13"/>
        <v>tom</v>
      </c>
      <c r="BM24" s="2">
        <f t="shared" si="14"/>
        <v>0</v>
      </c>
      <c r="BN24" s="2">
        <f t="shared" si="15"/>
        <v>0</v>
      </c>
      <c r="BO24" s="2">
        <f t="shared" si="16"/>
        <v>0</v>
      </c>
    </row>
    <row r="25" spans="3:67" ht="15.75" thickBot="1">
      <c r="C25" s="20" t="s">
        <v>191</v>
      </c>
      <c r="D25" s="20" t="s">
        <v>192</v>
      </c>
      <c r="E25" s="368"/>
      <c r="F25" s="368"/>
      <c r="G25" s="326"/>
      <c r="H25" s="327"/>
      <c r="I25" s="369"/>
      <c r="J25" s="370"/>
      <c r="K25" s="188"/>
      <c r="L25" s="189"/>
      <c r="M25" s="189"/>
      <c r="N25" s="190"/>
      <c r="O25" s="139"/>
      <c r="P25" s="6"/>
      <c r="Q25" s="6"/>
      <c r="T25" s="6"/>
      <c r="U25" s="6"/>
      <c r="V25" s="9">
        <f t="shared" si="2"/>
        <v>0</v>
      </c>
      <c r="W25" s="9">
        <f t="shared" si="3"/>
        <v>1</v>
      </c>
      <c r="X25" s="9">
        <f t="shared" si="4"/>
        <v>0</v>
      </c>
      <c r="AM25" s="191" t="s">
        <v>191</v>
      </c>
      <c r="AN25" s="192">
        <f>$E$25*SUM(F19:F24)*(Utslippsdata!C54+Utslippsdata!C55)+$E$26*Utslippsdata!C56</f>
        <v>0</v>
      </c>
      <c r="AO25" s="193">
        <f>$E$25*SUM(F19:F24)*(Utslippsdata!D54+Utslippsdata!D55)+$E$26*Utslippsdata!D56</f>
        <v>0</v>
      </c>
      <c r="AP25" s="193">
        <f>$E$25*SUM(F19:F24)*(Utslippsdata!E54+Utslippsdata!E55)+$E$26*Utslippsdata!E56</f>
        <v>0</v>
      </c>
      <c r="AQ25" s="193">
        <f>$E$25*SUM(F19:F24)*(Utslippsdata!F54+Utslippsdata!F55)+$E$26*Utslippsdata!F56</f>
        <v>0</v>
      </c>
      <c r="AR25" s="194">
        <f>$E$25*SUM(F19:F24)*(Utslippsdata!G54+Utslippsdata!G55)+$E$26*Utslippsdata!G56</f>
        <v>0</v>
      </c>
      <c r="AS25" s="195">
        <f>$G$25*SUM(H19:H24)*(Utslippsdata!C54+Utslippsdata!C55)+$G$26*Utslippsdata!C56</f>
        <v>0</v>
      </c>
      <c r="AT25" s="193">
        <f>$G$25*SUM(H19:H24)*(Utslippsdata!D54+Utslippsdata!D55)+$G$26*Utslippsdata!D56</f>
        <v>0</v>
      </c>
      <c r="AU25" s="193">
        <f>$G$25*SUM(H19:H24)*(Utslippsdata!E54+Utslippsdata!E55)+$G$26*Utslippsdata!E56</f>
        <v>0</v>
      </c>
      <c r="AV25" s="193">
        <f>$G$25*SUM(H19:H24)*(Utslippsdata!F54+Utslippsdata!F55)+$G$26*Utslippsdata!F56</f>
        <v>0</v>
      </c>
      <c r="AW25" s="196">
        <f>$G$25*SUM(H19:H24)*(Utslippsdata!G54+Utslippsdata!G55)+$G$26*Utslippsdata!G56</f>
        <v>0</v>
      </c>
      <c r="AX25" s="197"/>
      <c r="AY25" s="198"/>
      <c r="AZ25" s="198"/>
      <c r="BA25" s="198"/>
      <c r="BB25" s="199"/>
    </row>
    <row r="26" spans="3:67" ht="15" thickBot="1">
      <c r="C26" s="20" t="s">
        <v>193</v>
      </c>
      <c r="D26" s="20" t="s">
        <v>194</v>
      </c>
      <c r="E26" s="368"/>
      <c r="F26" s="368"/>
      <c r="G26" s="326"/>
      <c r="H26" s="327"/>
      <c r="I26" s="200"/>
      <c r="J26" s="201"/>
      <c r="K26" s="202"/>
      <c r="L26" s="19"/>
      <c r="M26" s="19"/>
      <c r="N26" s="203"/>
      <c r="O26" s="139"/>
      <c r="P26" s="6"/>
      <c r="Q26" s="6"/>
      <c r="T26" s="6"/>
      <c r="U26" s="6"/>
      <c r="V26" s="9">
        <f t="shared" si="2"/>
        <v>0</v>
      </c>
      <c r="W26" s="9">
        <f t="shared" si="3"/>
        <v>1</v>
      </c>
      <c r="X26" s="9">
        <f t="shared" si="4"/>
        <v>0</v>
      </c>
      <c r="AM26" s="204" t="s">
        <v>170</v>
      </c>
      <c r="AN26" s="205">
        <f t="shared" ref="AN26:BB26" si="17">SUM(AN19:AN25)</f>
        <v>0</v>
      </c>
      <c r="AO26" s="206">
        <f t="shared" si="17"/>
        <v>0</v>
      </c>
      <c r="AP26" s="206">
        <f t="shared" si="17"/>
        <v>0</v>
      </c>
      <c r="AQ26" s="206">
        <f t="shared" si="17"/>
        <v>0</v>
      </c>
      <c r="AR26" s="207">
        <f t="shared" si="17"/>
        <v>0</v>
      </c>
      <c r="AS26" s="205">
        <f t="shared" si="17"/>
        <v>0</v>
      </c>
      <c r="AT26" s="206">
        <f t="shared" si="17"/>
        <v>0</v>
      </c>
      <c r="AU26" s="206">
        <f t="shared" si="17"/>
        <v>0</v>
      </c>
      <c r="AV26" s="206">
        <f t="shared" si="17"/>
        <v>0</v>
      </c>
      <c r="AW26" s="207">
        <f t="shared" si="17"/>
        <v>0</v>
      </c>
      <c r="AX26" s="205">
        <f t="shared" si="17"/>
        <v>0</v>
      </c>
      <c r="AY26" s="206">
        <f t="shared" si="17"/>
        <v>0</v>
      </c>
      <c r="AZ26" s="206">
        <f t="shared" si="17"/>
        <v>0</v>
      </c>
      <c r="BA26" s="206">
        <f t="shared" si="17"/>
        <v>0</v>
      </c>
      <c r="BB26" s="207">
        <f t="shared" si="17"/>
        <v>0</v>
      </c>
    </row>
    <row r="27" spans="3:67">
      <c r="C27" s="178" t="s">
        <v>195</v>
      </c>
      <c r="D27" s="208"/>
      <c r="E27" s="324"/>
      <c r="F27" s="325"/>
      <c r="G27" s="326"/>
      <c r="H27" s="327"/>
      <c r="I27" s="326"/>
      <c r="J27" s="327"/>
      <c r="K27" s="209"/>
      <c r="L27" s="210"/>
      <c r="M27" s="210"/>
      <c r="N27" s="211"/>
      <c r="O27" s="139"/>
      <c r="V27" s="9">
        <f t="shared" si="2"/>
        <v>0</v>
      </c>
      <c r="W27" s="9">
        <f t="shared" si="3"/>
        <v>1</v>
      </c>
      <c r="X27" s="9">
        <f t="shared" si="4"/>
        <v>0</v>
      </c>
    </row>
    <row r="28" spans="3:67">
      <c r="C28" s="19"/>
      <c r="D28" s="19"/>
      <c r="E28" s="19"/>
      <c r="F28" s="19"/>
      <c r="G28" s="19"/>
      <c r="H28" s="19"/>
      <c r="I28" s="19"/>
      <c r="J28" s="19"/>
      <c r="K28" s="19"/>
      <c r="L28" s="19"/>
      <c r="M28" s="19"/>
      <c r="N28" s="19"/>
      <c r="O28" s="19"/>
      <c r="AM28" s="9" t="s">
        <v>196</v>
      </c>
      <c r="AN28" s="9"/>
      <c r="AO28" s="9"/>
      <c r="AP28" s="9"/>
      <c r="AQ28" s="9"/>
      <c r="AR28" s="9"/>
      <c r="AS28" s="9"/>
      <c r="AT28" s="9"/>
      <c r="AU28" s="9"/>
      <c r="AV28" s="9"/>
      <c r="AW28" s="9"/>
      <c r="AX28" s="9">
        <f ca="1">YEAR(TODAY())</f>
        <v>2025</v>
      </c>
      <c r="AY28" s="10">
        <f>DATE('Generelt om prosjektet'!C26,1,1)</f>
        <v>46023</v>
      </c>
      <c r="AZ28" s="9">
        <f>YEAR(AY28)</f>
        <v>2026</v>
      </c>
      <c r="BA28" s="9"/>
    </row>
    <row r="29" spans="3:67">
      <c r="C29" s="51" t="s">
        <v>197</v>
      </c>
      <c r="D29" s="51"/>
      <c r="E29" s="51" t="s">
        <v>198</v>
      </c>
      <c r="F29" s="51" t="s">
        <v>172</v>
      </c>
      <c r="G29" s="212" t="s">
        <v>93</v>
      </c>
      <c r="H29" s="213"/>
      <c r="I29" s="213"/>
      <c r="J29" s="169"/>
      <c r="K29" s="19"/>
      <c r="L29" s="19"/>
      <c r="M29" s="19"/>
      <c r="N29" s="19"/>
      <c r="O29" s="19"/>
      <c r="U29" s="2" t="s">
        <v>199</v>
      </c>
      <c r="V29" s="9">
        <f>SUM(E19:F22)</f>
        <v>0</v>
      </c>
      <c r="W29" s="9">
        <f>SUM(G19:H22)</f>
        <v>0</v>
      </c>
      <c r="X29" s="9">
        <f>SUM(I19:J22)</f>
        <v>0</v>
      </c>
      <c r="AM29" s="9" t="s">
        <v>200</v>
      </c>
      <c r="AN29" s="9"/>
      <c r="AO29" s="9"/>
      <c r="AP29" s="9"/>
      <c r="AQ29" s="9"/>
      <c r="AR29" s="9"/>
      <c r="AS29" s="9"/>
      <c r="AT29" s="9"/>
      <c r="AU29" s="9"/>
      <c r="AV29" s="9"/>
      <c r="AW29" s="9"/>
      <c r="AX29" s="9">
        <f ca="1">IF(AZ28&gt;AX28,AZ28,AX28)</f>
        <v>2026</v>
      </c>
      <c r="AY29" s="9"/>
      <c r="AZ29" s="9"/>
      <c r="BA29" s="9"/>
    </row>
    <row r="30" spans="3:67" ht="25.5">
      <c r="C30" s="153" t="s">
        <v>201</v>
      </c>
      <c r="D30" s="214" t="s">
        <v>202</v>
      </c>
      <c r="E30" s="142">
        <v>1.95</v>
      </c>
      <c r="F30" s="153" t="s">
        <v>203</v>
      </c>
      <c r="G30" s="321"/>
      <c r="H30" s="322"/>
      <c r="I30" s="322"/>
      <c r="J30" s="323"/>
      <c r="U30" s="2" t="s">
        <v>204</v>
      </c>
      <c r="V30" s="9">
        <f>SUM(E23:H24)</f>
        <v>0</v>
      </c>
      <c r="W30" s="9"/>
      <c r="X30" s="9"/>
      <c r="AM30" s="9" t="s">
        <v>205</v>
      </c>
      <c r="AN30" s="9"/>
      <c r="AO30" s="9"/>
      <c r="AP30" s="9"/>
      <c r="AQ30" s="9"/>
      <c r="AR30" s="9"/>
      <c r="AS30" s="9"/>
      <c r="AT30" s="9"/>
      <c r="AU30" s="9"/>
      <c r="AV30" s="9"/>
      <c r="AW30" s="9"/>
      <c r="AX30" s="10">
        <f>DATE(I27,1,1)</f>
        <v>1</v>
      </c>
      <c r="AY30" s="9"/>
      <c r="AZ30" s="9">
        <f>IF(I27="",0,YEAR(AX30))</f>
        <v>0</v>
      </c>
      <c r="BA30" s="9"/>
    </row>
    <row r="31" spans="3:67">
      <c r="C31" s="19"/>
      <c r="D31" s="19"/>
      <c r="E31" s="19"/>
      <c r="F31" s="19"/>
      <c r="G31" s="328"/>
      <c r="H31" s="328"/>
      <c r="I31" s="328"/>
      <c r="J31" s="328"/>
      <c r="AM31" s="9" t="s">
        <v>206</v>
      </c>
      <c r="AN31" s="9"/>
      <c r="AO31" s="9"/>
      <c r="AP31" s="9"/>
      <c r="AQ31" s="9"/>
      <c r="AR31" s="9"/>
      <c r="AS31" s="9"/>
      <c r="AT31" s="9"/>
      <c r="AU31" s="9"/>
      <c r="AV31" s="9"/>
      <c r="AW31" s="9"/>
      <c r="AX31" s="9">
        <f ca="1">AX29-AZ30</f>
        <v>2026</v>
      </c>
      <c r="AY31" s="9" t="s">
        <v>207</v>
      </c>
      <c r="AZ31" s="9">
        <f>'Generelt om prosjektet'!C24</f>
        <v>50</v>
      </c>
      <c r="BA31" s="9" t="s">
        <v>207</v>
      </c>
    </row>
    <row r="32" spans="3:67">
      <c r="C32" s="19"/>
      <c r="D32" s="19"/>
      <c r="E32" s="19"/>
      <c r="F32" s="19"/>
      <c r="G32" s="328"/>
      <c r="H32" s="328"/>
      <c r="I32" s="328"/>
      <c r="J32" s="328"/>
      <c r="V32" s="2">
        <f>V30+W29+W30</f>
        <v>0</v>
      </c>
      <c r="W32" s="2">
        <f>SUM(I19:J24)+W29</f>
        <v>0</v>
      </c>
      <c r="AM32" s="9" t="s">
        <v>208</v>
      </c>
      <c r="AN32" s="9"/>
      <c r="AO32" s="9"/>
      <c r="AP32" s="9"/>
      <c r="AQ32" s="9"/>
      <c r="AR32" s="9"/>
      <c r="AS32" s="9"/>
      <c r="AT32" s="9"/>
      <c r="AU32" s="9"/>
      <c r="AV32" s="9"/>
      <c r="AW32" s="9"/>
      <c r="AX32" s="9">
        <f ca="1">'Generelt om prosjektet'!C24-AX31</f>
        <v>-1976</v>
      </c>
      <c r="AY32" s="9" t="s">
        <v>207</v>
      </c>
      <c r="AZ32" s="9"/>
      <c r="BA32" s="9"/>
    </row>
    <row r="33" spans="3:53" ht="15" thickBot="1">
      <c r="C33" s="215" t="s">
        <v>209</v>
      </c>
      <c r="D33" s="51" t="s">
        <v>4</v>
      </c>
      <c r="E33" s="51" t="s">
        <v>210</v>
      </c>
      <c r="F33" s="51" t="s">
        <v>172</v>
      </c>
      <c r="G33" s="212" t="s">
        <v>93</v>
      </c>
      <c r="H33" s="213"/>
      <c r="I33" s="213"/>
      <c r="J33" s="169"/>
      <c r="AE33" s="158" t="s">
        <v>211</v>
      </c>
      <c r="AF33" s="159"/>
      <c r="AG33" s="160"/>
      <c r="AM33" s="9" t="s">
        <v>212</v>
      </c>
      <c r="AX33" s="216">
        <f ca="1">IF($AX$31&lt;$AZ$31,AX26/$AZ$31*$AX$32,0)</f>
        <v>0</v>
      </c>
      <c r="AY33" s="216">
        <f ca="1">IF($AX$31&lt;$AZ$31,AY26/$AZ$31*$AX$32,0)</f>
        <v>0</v>
      </c>
      <c r="AZ33" s="216">
        <f ca="1">IF($AX$31&lt;$AZ$31,AZ26/$AZ$31*$AX$32,0)</f>
        <v>0</v>
      </c>
      <c r="BA33" s="216">
        <f ca="1">IF($AX$31&lt;$AZ$31,BA26/$AZ$31*$AX$32,0)</f>
        <v>0</v>
      </c>
    </row>
    <row r="34" spans="3:53">
      <c r="C34" s="20" t="s">
        <v>213</v>
      </c>
      <c r="D34" s="20" t="s">
        <v>214</v>
      </c>
      <c r="E34" s="140"/>
      <c r="F34" s="20" t="s">
        <v>215</v>
      </c>
      <c r="G34" s="315"/>
      <c r="H34" s="315"/>
      <c r="I34" s="315"/>
      <c r="J34" s="315"/>
      <c r="AE34" s="9"/>
      <c r="AF34" s="9"/>
      <c r="AG34" s="9"/>
      <c r="AI34" s="9" t="s">
        <v>216</v>
      </c>
      <c r="AJ34" s="9">
        <f t="shared" ref="AJ34:AJ43" ca="1" si="18">SUMIF($L$19:$M$24,AI34,$M$19:$M$24)</f>
        <v>0</v>
      </c>
      <c r="AK34" s="2" t="s">
        <v>217</v>
      </c>
    </row>
    <row r="35" spans="3:53">
      <c r="C35" s="20" t="s">
        <v>218</v>
      </c>
      <c r="D35" s="20" t="s">
        <v>219</v>
      </c>
      <c r="E35" s="140"/>
      <c r="F35" s="20" t="s">
        <v>215</v>
      </c>
      <c r="G35" s="315"/>
      <c r="H35" s="315"/>
      <c r="I35" s="315"/>
      <c r="J35" s="315"/>
      <c r="AE35" s="9" t="s">
        <v>196</v>
      </c>
      <c r="AF35" s="9">
        <f>'Generelt om prosjektet'!C24</f>
        <v>50</v>
      </c>
      <c r="AG35" s="9"/>
      <c r="AI35" s="9" t="s">
        <v>220</v>
      </c>
      <c r="AJ35" s="9">
        <f t="shared" ca="1" si="18"/>
        <v>0</v>
      </c>
      <c r="AM35" s="158" t="s">
        <v>221</v>
      </c>
      <c r="AN35" s="159"/>
      <c r="AO35" s="159"/>
      <c r="AP35" s="159"/>
      <c r="AQ35" s="159"/>
      <c r="AR35" s="159"/>
      <c r="AS35" s="159"/>
      <c r="AT35" s="160"/>
    </row>
    <row r="36" spans="3:53">
      <c r="C36" s="20" t="s">
        <v>222</v>
      </c>
      <c r="D36" s="144"/>
      <c r="E36" s="143"/>
      <c r="F36" s="20" t="s">
        <v>215</v>
      </c>
      <c r="G36" s="315"/>
      <c r="H36" s="315"/>
      <c r="I36" s="315"/>
      <c r="J36" s="315"/>
      <c r="AE36" s="9" t="str">
        <f>C34</f>
        <v>Beregnet levert strøm</v>
      </c>
      <c r="AF36" s="66">
        <f>E34*Utslippsdata!C76*$AF$35/1000</f>
        <v>0</v>
      </c>
      <c r="AG36" s="9" t="s">
        <v>223</v>
      </c>
      <c r="AI36" s="9" t="s">
        <v>224</v>
      </c>
      <c r="AJ36" s="9">
        <f t="shared" ca="1" si="18"/>
        <v>0</v>
      </c>
      <c r="AK36" s="2" t="s">
        <v>225</v>
      </c>
      <c r="AM36" s="2">
        <f>'Generelt om prosjektet'!C24</f>
        <v>50</v>
      </c>
      <c r="AN36" s="2" t="s">
        <v>207</v>
      </c>
      <c r="AO36" s="406" t="s">
        <v>226</v>
      </c>
      <c r="AP36" s="406"/>
      <c r="AQ36" s="406"/>
      <c r="AR36" s="406"/>
      <c r="AS36" s="406"/>
      <c r="AT36" s="406"/>
    </row>
    <row r="37" spans="3:53" ht="15">
      <c r="C37" s="20" t="s">
        <v>227</v>
      </c>
      <c r="D37" s="20" t="s">
        <v>228</v>
      </c>
      <c r="E37" s="130"/>
      <c r="F37" s="20" t="s">
        <v>229</v>
      </c>
      <c r="G37" s="315"/>
      <c r="H37" s="315"/>
      <c r="I37" s="315"/>
      <c r="J37" s="315"/>
      <c r="AE37" s="9" t="str">
        <f>C35</f>
        <v>Beregnet levert fjernvarme</v>
      </c>
      <c r="AF37" s="66">
        <f>E35*Utslippsdata!C80*$AF$35/1000</f>
        <v>0</v>
      </c>
      <c r="AG37" s="9" t="s">
        <v>223</v>
      </c>
      <c r="AI37" s="9" t="s">
        <v>230</v>
      </c>
      <c r="AJ37" s="9">
        <f t="shared" ca="1" si="18"/>
        <v>0</v>
      </c>
      <c r="AM37" s="24"/>
      <c r="AN37" s="24" t="s">
        <v>231</v>
      </c>
      <c r="AO37" s="24" t="s">
        <v>232</v>
      </c>
      <c r="AP37" s="24" t="s">
        <v>233</v>
      </c>
      <c r="AQ37" s="24" t="s">
        <v>234</v>
      </c>
      <c r="AR37" s="24" t="s">
        <v>235</v>
      </c>
      <c r="AS37" s="24" t="s">
        <v>236</v>
      </c>
      <c r="AT37" s="24" t="s">
        <v>237</v>
      </c>
      <c r="AW37" s="74"/>
    </row>
    <row r="38" spans="3:53" ht="15" thickBot="1">
      <c r="C38" s="20" t="s">
        <v>238</v>
      </c>
      <c r="D38" s="20" t="s">
        <v>238</v>
      </c>
      <c r="E38" s="140"/>
      <c r="F38" s="20" t="s">
        <v>239</v>
      </c>
      <c r="G38" s="315"/>
      <c r="H38" s="315"/>
      <c r="I38" s="315"/>
      <c r="J38" s="315"/>
      <c r="V38" s="158" t="s">
        <v>240</v>
      </c>
      <c r="W38" s="159"/>
      <c r="X38" s="159"/>
      <c r="Y38" s="160"/>
      <c r="AE38" s="9" t="str">
        <f>C36</f>
        <v>Annen kilde, spesifiser</v>
      </c>
      <c r="AF38" s="66">
        <f>E36*E37*$AF$35/1000</f>
        <v>0</v>
      </c>
      <c r="AG38" s="9" t="s">
        <v>223</v>
      </c>
      <c r="AI38" s="9" t="s">
        <v>241</v>
      </c>
      <c r="AJ38" s="9">
        <f t="shared" ca="1" si="18"/>
        <v>0</v>
      </c>
      <c r="AK38" s="2" t="s">
        <v>242</v>
      </c>
      <c r="AM38" s="9" t="s">
        <v>243</v>
      </c>
      <c r="AN38" s="9">
        <f t="shared" ref="AN38:AN48" si="19">SUMIF($D$19:$D$24,AM38,$E$19:$E$24)+SUMIF($D$19:$D$24,AM38,$G$19:$G$24)</f>
        <v>0</v>
      </c>
      <c r="AO38" s="14">
        <f>IFERROR(Utslippsdata!C114+800/AN38,0)*AN38</f>
        <v>0</v>
      </c>
      <c r="AP38" s="14">
        <f>IFERROR(120+1600/AN38,0)*AN38</f>
        <v>0</v>
      </c>
      <c r="AQ38" s="14">
        <f>IFERROR(145+2500/AN38,0)*AN38</f>
        <v>0</v>
      </c>
      <c r="AR38" s="14">
        <f>IFERROR(175+4100/AN38,0)*AN38</f>
        <v>0</v>
      </c>
      <c r="AS38" s="14">
        <f>IFERROR(205+5800/AN38,0)*AN38</f>
        <v>0</v>
      </c>
      <c r="AT38" s="14">
        <f>IFERROR(250+8000/AN38,0)*AN38</f>
        <v>0</v>
      </c>
    </row>
    <row r="39" spans="3:53">
      <c r="C39" s="20" t="s">
        <v>244</v>
      </c>
      <c r="D39" s="20" t="s">
        <v>245</v>
      </c>
      <c r="E39" s="140"/>
      <c r="F39" s="20" t="s">
        <v>215</v>
      </c>
      <c r="G39" s="315"/>
      <c r="H39" s="315"/>
      <c r="I39" s="315"/>
      <c r="J39" s="315"/>
      <c r="V39" s="9" t="s">
        <v>246</v>
      </c>
      <c r="W39" s="9"/>
      <c r="X39" s="9"/>
      <c r="Y39" s="9" t="s">
        <v>247</v>
      </c>
      <c r="Z39" s="12"/>
      <c r="AA39" s="218" t="s">
        <v>100</v>
      </c>
      <c r="AB39" s="6"/>
      <c r="AE39" s="9" t="str">
        <f>C39</f>
        <v>Levert strøm fra solceller</v>
      </c>
      <c r="AF39" s="66">
        <f>E39*Utslippsdata!C76*$AF$35/1000</f>
        <v>0</v>
      </c>
      <c r="AG39" s="9" t="s">
        <v>223</v>
      </c>
      <c r="AI39" s="9" t="s">
        <v>248</v>
      </c>
      <c r="AJ39" s="9">
        <f t="shared" ca="1" si="18"/>
        <v>0</v>
      </c>
      <c r="AK39" s="2" t="s">
        <v>249</v>
      </c>
      <c r="AM39" s="9" t="s">
        <v>185</v>
      </c>
      <c r="AN39" s="9">
        <f t="shared" si="19"/>
        <v>0</v>
      </c>
      <c r="AO39" s="14">
        <f>IFERROR(85+600/AN39,0)*AN39</f>
        <v>0</v>
      </c>
      <c r="AP39" s="14">
        <f>IFERROR(95+1000/AN39,0)*AN39</f>
        <v>0</v>
      </c>
      <c r="AQ39" s="14">
        <f>IFERROR(110+1500/AN39,0)*AN39</f>
        <v>0</v>
      </c>
      <c r="AR39" s="14">
        <f>IFERROR(135+2200/AN39,0)*AN39</f>
        <v>0</v>
      </c>
      <c r="AS39" s="14">
        <f>IFERROR(160+3000/AN39,0)*AN39</f>
        <v>0</v>
      </c>
      <c r="AT39" s="14">
        <f>IFERROR(200+4000/AN39,0)*AN39</f>
        <v>0</v>
      </c>
    </row>
    <row r="40" spans="3:53">
      <c r="C40" s="19"/>
      <c r="D40" s="19"/>
      <c r="E40" s="19"/>
      <c r="F40" s="19"/>
      <c r="G40" s="19"/>
      <c r="H40" s="19"/>
      <c r="I40" s="19"/>
      <c r="J40" s="19"/>
      <c r="V40" s="9">
        <f>IF(OR(D19=AK135,D20=AK135,D21=AK135,D22=AK135),1,0)</f>
        <v>0</v>
      </c>
      <c r="W40" s="9"/>
      <c r="X40" s="9">
        <v>1.95</v>
      </c>
      <c r="Y40" s="9">
        <f>IF(E30="",X40,E30)</f>
        <v>1.95</v>
      </c>
      <c r="AA40" s="185" t="s">
        <v>250</v>
      </c>
      <c r="AE40" s="9" t="s">
        <v>251</v>
      </c>
      <c r="AF40" s="66">
        <f>E38*(Utslippsdata!B107+Utslippsdata!C107+Utslippsdata!D107+Utslippsdata!E107+Utslippsdata!F107)/1000</f>
        <v>0</v>
      </c>
      <c r="AG40" s="9" t="s">
        <v>223</v>
      </c>
      <c r="AI40" s="9" t="s">
        <v>252</v>
      </c>
      <c r="AJ40" s="9">
        <f t="shared" ca="1" si="18"/>
        <v>0</v>
      </c>
      <c r="AK40" s="2" t="s">
        <v>253</v>
      </c>
      <c r="AM40" s="9" t="s">
        <v>254</v>
      </c>
      <c r="AN40" s="9">
        <f t="shared" si="19"/>
        <v>0</v>
      </c>
      <c r="AO40" s="14">
        <f>$AN40*Utslippsdata!C118</f>
        <v>0</v>
      </c>
      <c r="AP40" s="14">
        <f>$AN40*Utslippsdata!D118</f>
        <v>0</v>
      </c>
      <c r="AQ40" s="14">
        <f>$AN40*Utslippsdata!E118</f>
        <v>0</v>
      </c>
      <c r="AR40" s="14">
        <f>$AN40*Utslippsdata!F118</f>
        <v>0</v>
      </c>
      <c r="AS40" s="14">
        <f>$AN40*Utslippsdata!G118</f>
        <v>0</v>
      </c>
      <c r="AT40" s="14">
        <f>$AN40*Utslippsdata!H118</f>
        <v>0</v>
      </c>
    </row>
    <row r="41" spans="3:53">
      <c r="C41" s="20" t="s">
        <v>255</v>
      </c>
      <c r="D41" s="130" t="s">
        <v>250</v>
      </c>
      <c r="E41" s="19"/>
      <c r="F41" s="19"/>
      <c r="G41" s="19"/>
      <c r="H41" s="19"/>
      <c r="I41" s="19"/>
      <c r="J41" s="19"/>
      <c r="AA41" s="185" t="s">
        <v>256</v>
      </c>
      <c r="AI41" s="9" t="s">
        <v>257</v>
      </c>
      <c r="AJ41" s="9">
        <f t="shared" ca="1" si="18"/>
        <v>0</v>
      </c>
      <c r="AK41" s="2" t="s">
        <v>258</v>
      </c>
      <c r="AM41" s="9" t="s">
        <v>183</v>
      </c>
      <c r="AN41" s="9">
        <f t="shared" si="19"/>
        <v>0</v>
      </c>
      <c r="AO41" s="14">
        <f>$AN41*Utslippsdata!C119</f>
        <v>0</v>
      </c>
      <c r="AP41" s="14">
        <f>$AN41*Utslippsdata!D119</f>
        <v>0</v>
      </c>
      <c r="AQ41" s="14">
        <f>$AN41*Utslippsdata!E119</f>
        <v>0</v>
      </c>
      <c r="AR41" s="14">
        <f>$AN41*Utslippsdata!F119</f>
        <v>0</v>
      </c>
      <c r="AS41" s="14">
        <f>$AN41*Utslippsdata!G119</f>
        <v>0</v>
      </c>
      <c r="AT41" s="14">
        <f>$AN41*Utslippsdata!H119</f>
        <v>0</v>
      </c>
    </row>
    <row r="42" spans="3:53">
      <c r="C42" s="19"/>
      <c r="D42" s="19"/>
      <c r="E42" s="19"/>
      <c r="F42" s="19"/>
      <c r="G42" s="19"/>
      <c r="H42" s="19"/>
      <c r="I42" s="19"/>
      <c r="J42" s="19"/>
      <c r="AA42" s="185" t="s">
        <v>101</v>
      </c>
      <c r="AE42" s="219" t="s">
        <v>259</v>
      </c>
      <c r="AF42" s="219"/>
      <c r="AI42" s="9" t="s">
        <v>260</v>
      </c>
      <c r="AJ42" s="9">
        <f t="shared" ca="1" si="18"/>
        <v>0</v>
      </c>
      <c r="AK42" s="2" t="s">
        <v>261</v>
      </c>
      <c r="AM42" s="9" t="s">
        <v>262</v>
      </c>
      <c r="AN42" s="9">
        <f t="shared" si="19"/>
        <v>0</v>
      </c>
      <c r="AO42" s="14">
        <f>$AN42*Utslippsdata!C120</f>
        <v>0</v>
      </c>
      <c r="AP42" s="14">
        <f>$AN42*Utslippsdata!D120</f>
        <v>0</v>
      </c>
      <c r="AQ42" s="14">
        <f>$AN42*Utslippsdata!E120</f>
        <v>0</v>
      </c>
      <c r="AR42" s="14">
        <f>$AN42*Utslippsdata!F120</f>
        <v>0</v>
      </c>
      <c r="AS42" s="14">
        <f>$AN42*Utslippsdata!G120</f>
        <v>0</v>
      </c>
      <c r="AT42" s="14">
        <f>$AN42*Utslippsdata!H120</f>
        <v>0</v>
      </c>
    </row>
    <row r="43" spans="3:53">
      <c r="C43" s="51" t="s">
        <v>263</v>
      </c>
      <c r="D43" s="51"/>
      <c r="E43" s="51" t="s">
        <v>264</v>
      </c>
      <c r="F43" s="212" t="s">
        <v>93</v>
      </c>
      <c r="G43" s="213"/>
      <c r="H43" s="213"/>
      <c r="I43" s="213"/>
      <c r="J43" s="169"/>
      <c r="AA43" s="220"/>
      <c r="AE43" s="219" t="s">
        <v>265</v>
      </c>
      <c r="AF43" s="219"/>
      <c r="AI43" s="9" t="s">
        <v>266</v>
      </c>
      <c r="AJ43" s="9">
        <f t="shared" ca="1" si="18"/>
        <v>0</v>
      </c>
      <c r="AM43" s="9" t="s">
        <v>267</v>
      </c>
      <c r="AN43" s="9">
        <f t="shared" si="19"/>
        <v>0</v>
      </c>
      <c r="AO43" s="14">
        <f>$AN43*Utslippsdata!C121</f>
        <v>0</v>
      </c>
      <c r="AP43" s="14">
        <f>$AN43*Utslippsdata!D121</f>
        <v>0</v>
      </c>
      <c r="AQ43" s="14">
        <f>$AN43*Utslippsdata!E121</f>
        <v>0</v>
      </c>
      <c r="AR43" s="14">
        <f>$AN43*Utslippsdata!F121</f>
        <v>0</v>
      </c>
      <c r="AS43" s="14">
        <f>$AN43*Utslippsdata!G121</f>
        <v>0</v>
      </c>
      <c r="AT43" s="14">
        <f>$AN43*Utslippsdata!H121</f>
        <v>0</v>
      </c>
    </row>
    <row r="44" spans="3:53" ht="14.25" customHeight="1">
      <c r="C44" s="178" t="s">
        <v>268</v>
      </c>
      <c r="D44" s="208"/>
      <c r="E44" s="130" t="s">
        <v>269</v>
      </c>
      <c r="F44" s="315"/>
      <c r="G44" s="315"/>
      <c r="H44" s="315"/>
      <c r="I44" s="315"/>
      <c r="J44" s="315"/>
      <c r="V44" s="219" t="s">
        <v>270</v>
      </c>
      <c r="AA44" s="220"/>
      <c r="AE44" s="66">
        <f>D54*Utslippsdata!C146</f>
        <v>0</v>
      </c>
      <c r="AF44" s="9" t="s">
        <v>271</v>
      </c>
      <c r="AM44" s="9" t="s">
        <v>272</v>
      </c>
      <c r="AN44" s="9">
        <f t="shared" si="19"/>
        <v>0</v>
      </c>
      <c r="AO44" s="14">
        <f>$AN44*Utslippsdata!C122</f>
        <v>0</v>
      </c>
      <c r="AP44" s="14">
        <f>$AN44*Utslippsdata!D122</f>
        <v>0</v>
      </c>
      <c r="AQ44" s="14">
        <f>$AN44*Utslippsdata!E122</f>
        <v>0</v>
      </c>
      <c r="AR44" s="14">
        <f>$AN44*Utslippsdata!F122</f>
        <v>0</v>
      </c>
      <c r="AS44" s="14">
        <f>$AN44*Utslippsdata!G122</f>
        <v>0</v>
      </c>
      <c r="AT44" s="14">
        <f>$AN44*Utslippsdata!H122</f>
        <v>0</v>
      </c>
    </row>
    <row r="45" spans="3:53">
      <c r="C45" s="221" t="str">
        <f>IF(E44=Ja,"","*Hvis nei inkluderes utslipp i beregningene basert på oppgitt areal og standard utslippstall for solceller, inverter, kabler, festesystem og ballast")</f>
        <v>*Hvis nei inkluderes utslipp i beregningene basert på oppgitt areal og standard utslippstall for solceller, inverter, kabler, festesystem og ballast</v>
      </c>
      <c r="D45" s="19"/>
      <c r="E45" s="19"/>
      <c r="F45" s="19"/>
      <c r="G45" s="19"/>
      <c r="H45" s="19"/>
      <c r="I45" s="19"/>
      <c r="J45" s="19"/>
      <c r="V45" s="9" t="s">
        <v>273</v>
      </c>
      <c r="AA45" s="185" t="s">
        <v>274</v>
      </c>
      <c r="AE45" s="66">
        <f>D55*Utslippsdata!C147</f>
        <v>0</v>
      </c>
      <c r="AF45" s="9" t="s">
        <v>271</v>
      </c>
      <c r="AI45" s="2" t="s">
        <v>275</v>
      </c>
      <c r="AJ45" s="2">
        <v>1.95</v>
      </c>
      <c r="AM45" s="9" t="s">
        <v>276</v>
      </c>
      <c r="AN45" s="9">
        <f t="shared" si="19"/>
        <v>0</v>
      </c>
      <c r="AO45" s="14">
        <f>$AN45*Utslippsdata!C123</f>
        <v>0</v>
      </c>
      <c r="AP45" s="14">
        <f>$AN45*Utslippsdata!D123</f>
        <v>0</v>
      </c>
      <c r="AQ45" s="14">
        <f>$AN45*Utslippsdata!E123</f>
        <v>0</v>
      </c>
      <c r="AR45" s="14">
        <f>$AN45*Utslippsdata!F123</f>
        <v>0</v>
      </c>
      <c r="AS45" s="14">
        <f>$AN45*Utslippsdata!G123</f>
        <v>0</v>
      </c>
      <c r="AT45" s="14">
        <f>$AN45*Utslippsdata!H123</f>
        <v>0</v>
      </c>
    </row>
    <row r="46" spans="3:53" ht="15" customHeight="1">
      <c r="C46" s="221" t="str">
        <f>IF(E44=Nei,"","*Hvis ja skal materialutslipp fra solceller, inverter, kabler, festesystem og ballast inkluderes i A1-A3, A4, A5, B1-B5 (antatt 30 år levetid) og C1-C4 inkluderes i resultattabell under")</f>
        <v/>
      </c>
      <c r="D46" s="19"/>
      <c r="E46" s="19"/>
      <c r="F46" s="19"/>
      <c r="G46" s="19"/>
      <c r="H46" s="19"/>
      <c r="I46" s="19"/>
      <c r="J46" s="19"/>
      <c r="V46" s="9">
        <f>IF(E38&gt;0,1,0)</f>
        <v>0</v>
      </c>
      <c r="AA46" s="185" t="s">
        <v>277</v>
      </c>
      <c r="AE46" s="66">
        <f>D56*Utslippsdata!C148</f>
        <v>0</v>
      </c>
      <c r="AF46" s="9" t="s">
        <v>271</v>
      </c>
      <c r="AI46" s="2" t="s">
        <v>278</v>
      </c>
      <c r="AJ46" s="2">
        <f>IF((OR(E30=0,E30="")),AJ45,E30)</f>
        <v>1.95</v>
      </c>
      <c r="AM46" s="9" t="s">
        <v>279</v>
      </c>
      <c r="AN46" s="9">
        <f t="shared" si="19"/>
        <v>0</v>
      </c>
      <c r="AO46" s="14">
        <f>$AN46*Utslippsdata!C124</f>
        <v>0</v>
      </c>
      <c r="AP46" s="14">
        <f>$AN46*Utslippsdata!D124</f>
        <v>0</v>
      </c>
      <c r="AQ46" s="14">
        <f>$AN46*Utslippsdata!E124</f>
        <v>0</v>
      </c>
      <c r="AR46" s="14">
        <f>$AN46*Utslippsdata!F124</f>
        <v>0</v>
      </c>
      <c r="AS46" s="14">
        <f>$AN46*Utslippsdata!G124</f>
        <v>0</v>
      </c>
      <c r="AT46" s="14">
        <f>$AN46*Utslippsdata!H124</f>
        <v>0</v>
      </c>
    </row>
    <row r="47" spans="3:53" ht="15" customHeight="1" thickBot="1">
      <c r="C47" s="19"/>
      <c r="D47" s="19"/>
      <c r="E47" s="19"/>
      <c r="F47" s="19"/>
      <c r="G47" s="19"/>
      <c r="H47" s="19"/>
      <c r="I47" s="19"/>
      <c r="J47" s="19"/>
      <c r="AA47" s="222" t="s">
        <v>269</v>
      </c>
      <c r="AE47" s="66">
        <f>D57*Utslippsdata!C149</f>
        <v>0</v>
      </c>
      <c r="AF47" s="9" t="s">
        <v>271</v>
      </c>
      <c r="AI47"/>
      <c r="AM47" s="9" t="s">
        <v>280</v>
      </c>
      <c r="AN47" s="9">
        <f t="shared" si="19"/>
        <v>0</v>
      </c>
      <c r="AO47" s="14">
        <f>$AN47*Utslippsdata!C125</f>
        <v>0</v>
      </c>
      <c r="AP47" s="14">
        <f>$AN47*Utslippsdata!D125</f>
        <v>0</v>
      </c>
      <c r="AQ47" s="14">
        <f>$AN47*Utslippsdata!E125</f>
        <v>0</v>
      </c>
      <c r="AR47" s="14">
        <f>$AN47*Utslippsdata!F125</f>
        <v>0</v>
      </c>
      <c r="AS47" s="14">
        <f>$AN47*Utslippsdata!G125</f>
        <v>0</v>
      </c>
      <c r="AT47" s="14">
        <f>$AN47*Utslippsdata!H125</f>
        <v>0</v>
      </c>
    </row>
    <row r="48" spans="3:53" ht="15" customHeight="1">
      <c r="C48" s="215" t="s">
        <v>281</v>
      </c>
      <c r="D48" s="352" t="s">
        <v>282</v>
      </c>
      <c r="E48" s="353" t="s">
        <v>283</v>
      </c>
      <c r="F48" s="353" t="s">
        <v>172</v>
      </c>
      <c r="G48" s="353" t="s">
        <v>284</v>
      </c>
      <c r="H48" s="353" t="s">
        <v>93</v>
      </c>
      <c r="I48" s="353"/>
      <c r="J48" s="353"/>
      <c r="AE48" s="223">
        <f>SUM(AE44:AE47)/1000</f>
        <v>0</v>
      </c>
      <c r="AF48" s="24" t="s">
        <v>223</v>
      </c>
      <c r="AI48" s="9" t="s">
        <v>285</v>
      </c>
      <c r="AJ48" s="9">
        <f ca="1">ROUND(AJ35*AJ46+AJ39,0)</f>
        <v>0</v>
      </c>
      <c r="AK48" s="2" t="s">
        <v>249</v>
      </c>
      <c r="AM48" s="9" t="s">
        <v>286</v>
      </c>
      <c r="AN48" s="9">
        <f t="shared" si="19"/>
        <v>0</v>
      </c>
      <c r="AO48" s="14">
        <f>$AN48*Utslippsdata!C126</f>
        <v>0</v>
      </c>
      <c r="AP48" s="14">
        <f>$AN48*Utslippsdata!D126</f>
        <v>0</v>
      </c>
      <c r="AQ48" s="14">
        <f>$AN48*Utslippsdata!E126</f>
        <v>0</v>
      </c>
      <c r="AR48" s="14">
        <f>$AN48*Utslippsdata!F126</f>
        <v>0</v>
      </c>
      <c r="AS48" s="14">
        <f>$AN48*Utslippsdata!G126</f>
        <v>0</v>
      </c>
      <c r="AT48" s="14">
        <f>$AN48*Utslippsdata!H126</f>
        <v>0</v>
      </c>
    </row>
    <row r="49" spans="3:46" ht="15">
      <c r="C49" s="51" t="s">
        <v>287</v>
      </c>
      <c r="D49" s="352"/>
      <c r="E49" s="353"/>
      <c r="F49" s="353"/>
      <c r="G49" s="353"/>
      <c r="H49" s="353"/>
      <c r="I49" s="353"/>
      <c r="J49" s="353"/>
      <c r="M49" s="6"/>
      <c r="N49" s="6"/>
      <c r="O49" s="6"/>
      <c r="P49" s="6"/>
      <c r="Q49" s="6"/>
      <c r="R49" s="6"/>
      <c r="S49" s="6"/>
      <c r="T49" s="6"/>
      <c r="U49" s="6"/>
      <c r="AI49"/>
      <c r="AM49" s="81" t="s">
        <v>170</v>
      </c>
      <c r="AN49" s="81"/>
      <c r="AO49" s="224">
        <f t="shared" ref="AO49:AT49" si="20">SUM(AO38:AO48)</f>
        <v>0</v>
      </c>
      <c r="AP49" s="224">
        <f t="shared" si="20"/>
        <v>0</v>
      </c>
      <c r="AQ49" s="224">
        <f t="shared" si="20"/>
        <v>0</v>
      </c>
      <c r="AR49" s="224">
        <f t="shared" si="20"/>
        <v>0</v>
      </c>
      <c r="AS49" s="224">
        <f t="shared" si="20"/>
        <v>0</v>
      </c>
      <c r="AT49" s="224">
        <f t="shared" si="20"/>
        <v>0</v>
      </c>
    </row>
    <row r="50" spans="3:46" ht="15">
      <c r="C50" s="20" t="s">
        <v>288</v>
      </c>
      <c r="D50" s="130">
        <v>50</v>
      </c>
      <c r="E50" s="140">
        <v>0</v>
      </c>
      <c r="F50" s="20" t="s">
        <v>289</v>
      </c>
      <c r="G50" s="130" t="s">
        <v>295</v>
      </c>
      <c r="H50" s="315"/>
      <c r="I50" s="315"/>
      <c r="J50" s="315"/>
      <c r="M50" s="6"/>
      <c r="N50" s="6"/>
      <c r="O50" s="6"/>
      <c r="P50" s="6"/>
      <c r="Q50" s="6"/>
      <c r="R50" s="6"/>
      <c r="S50" s="6"/>
      <c r="T50" s="6"/>
      <c r="U50" s="6"/>
      <c r="V50" s="158" t="s">
        <v>291</v>
      </c>
      <c r="W50" s="159"/>
      <c r="X50" s="159"/>
      <c r="Y50" s="159"/>
      <c r="Z50" s="159"/>
      <c r="AA50" s="160"/>
      <c r="AE50" s="219" t="s">
        <v>292</v>
      </c>
      <c r="AF50" s="219"/>
      <c r="AI50" s="9" t="str">
        <f ca="1">AJ34&amp;" "&amp;AK34</f>
        <v xml:space="preserve">0 arbeidsplasser, </v>
      </c>
      <c r="AJ50" s="2" t="str">
        <f ca="1">IF(AJ34=0,"",AI50)</f>
        <v/>
      </c>
      <c r="AM50" s="225" t="s">
        <v>293</v>
      </c>
      <c r="AN50" s="225"/>
      <c r="AO50" s="226">
        <f>AO49*$AM$36*Utslippsdata!$C$76/1000</f>
        <v>0</v>
      </c>
      <c r="AP50" s="226">
        <f>AP49*$AM$36*Utslippsdata!$C$76/1000</f>
        <v>0</v>
      </c>
      <c r="AQ50" s="226">
        <f>AQ49*$AM$36*Utslippsdata!$C$76/1000</f>
        <v>0</v>
      </c>
      <c r="AR50" s="226">
        <f>AR49*$AM$36*Utslippsdata!$C$76/1000</f>
        <v>0</v>
      </c>
      <c r="AS50" s="226">
        <f>AS49*$AM$36*Utslippsdata!$C$76/1000</f>
        <v>0</v>
      </c>
      <c r="AT50" s="226">
        <f>AT49*$AM$36*Utslippsdata!$C$76/1000</f>
        <v>0</v>
      </c>
    </row>
    <row r="51" spans="3:46">
      <c r="C51" s="20" t="s">
        <v>294</v>
      </c>
      <c r="D51" s="130">
        <v>50</v>
      </c>
      <c r="E51" s="140">
        <v>0</v>
      </c>
      <c r="F51" s="20" t="s">
        <v>289</v>
      </c>
      <c r="G51" s="130" t="s">
        <v>295</v>
      </c>
      <c r="H51" s="312"/>
      <c r="I51" s="313"/>
      <c r="J51" s="314"/>
      <c r="N51" s="6"/>
      <c r="V51" s="227">
        <v>1</v>
      </c>
      <c r="W51" s="227">
        <v>2</v>
      </c>
      <c r="X51" s="227">
        <v>3</v>
      </c>
      <c r="Y51" s="227">
        <v>4</v>
      </c>
      <c r="Z51" s="227">
        <v>5</v>
      </c>
      <c r="AE51" s="9">
        <f>D60*(Utslippsdata!C133+Utslippsdata!$C$136)</f>
        <v>0</v>
      </c>
      <c r="AF51" s="9" t="s">
        <v>271</v>
      </c>
      <c r="AI51" s="9" t="str">
        <f ca="1">AJ36&amp;" "&amp;AK36</f>
        <v xml:space="preserve">0 elevplasser, </v>
      </c>
      <c r="AJ51" s="2" t="str">
        <f ca="1">IF(AJ36=0,"",AI51)</f>
        <v/>
      </c>
    </row>
    <row r="52" spans="3:46">
      <c r="C52" s="19"/>
      <c r="D52" s="19"/>
      <c r="E52" s="19"/>
      <c r="F52" s="19"/>
      <c r="G52" s="19"/>
      <c r="H52" s="19"/>
      <c r="I52" s="19"/>
      <c r="J52" s="19"/>
      <c r="N52" s="6"/>
      <c r="V52" s="228" t="s">
        <v>284</v>
      </c>
      <c r="W52" s="228"/>
      <c r="AE52" s="9">
        <f>D61*(Utslippsdata!C134+Utslippsdata!$C$136)</f>
        <v>0</v>
      </c>
      <c r="AF52" s="9" t="s">
        <v>271</v>
      </c>
      <c r="AI52" s="9" t="str">
        <f ca="1">AJ38&amp;" "&amp;AK38</f>
        <v xml:space="preserve">0 beboere på sykehjem, </v>
      </c>
      <c r="AJ52" s="2" t="str">
        <f ca="1">IF(AJ38=0,"",AI52)</f>
        <v/>
      </c>
    </row>
    <row r="53" spans="3:46">
      <c r="C53" s="51" t="s">
        <v>296</v>
      </c>
      <c r="D53" s="51" t="s">
        <v>64</v>
      </c>
      <c r="E53" s="51" t="s">
        <v>172</v>
      </c>
      <c r="F53" s="212" t="s">
        <v>93</v>
      </c>
      <c r="G53" s="213"/>
      <c r="H53" s="213"/>
      <c r="I53" s="213"/>
      <c r="J53" s="169"/>
      <c r="N53" s="6"/>
      <c r="V53" s="9" t="s">
        <v>295</v>
      </c>
      <c r="W53" s="9"/>
      <c r="Z53" s="229">
        <f>Z54</f>
        <v>0.13887096774193547</v>
      </c>
      <c r="AA53" s="9" t="s">
        <v>297</v>
      </c>
      <c r="AE53" s="9">
        <f>D62*(Utslippsdata!C135+Utslippsdata!$C$136)</f>
        <v>0</v>
      </c>
      <c r="AF53" s="9" t="s">
        <v>271</v>
      </c>
      <c r="AI53" s="9" t="str">
        <f ca="1">AJ40&amp;" "&amp;AK40</f>
        <v xml:space="preserve">0 plasser for barn, </v>
      </c>
      <c r="AJ53" s="2" t="str">
        <f ca="1">IF(AJ40=0,"",AI53)</f>
        <v/>
      </c>
    </row>
    <row r="54" spans="3:46">
      <c r="C54" s="20" t="s">
        <v>298</v>
      </c>
      <c r="D54" s="130"/>
      <c r="E54" s="130" t="s">
        <v>239</v>
      </c>
      <c r="F54" s="312"/>
      <c r="G54" s="313"/>
      <c r="H54" s="313"/>
      <c r="I54" s="313"/>
      <c r="J54" s="314"/>
      <c r="N54" s="6"/>
      <c r="V54" s="9" t="s">
        <v>299</v>
      </c>
      <c r="W54" s="9">
        <v>2.87</v>
      </c>
      <c r="X54" s="2" t="s">
        <v>300</v>
      </c>
      <c r="Z54" s="79">
        <f>W59*W54/W58</f>
        <v>0.13887096774193547</v>
      </c>
      <c r="AA54" s="9" t="s">
        <v>297</v>
      </c>
      <c r="AE54" s="9">
        <f>D63*Utslippsdata!C136</f>
        <v>0</v>
      </c>
      <c r="AF54" s="9" t="s">
        <v>271</v>
      </c>
      <c r="AI54" s="9" t="str">
        <f ca="1">AJ41&amp;" "&amp;AK41</f>
        <v xml:space="preserve">0 besøkende pr år, </v>
      </c>
      <c r="AJ54" s="2" t="str">
        <f ca="1">IF(AJ41=0,"",AI54)</f>
        <v/>
      </c>
    </row>
    <row r="55" spans="3:46">
      <c r="C55" s="20" t="s">
        <v>301</v>
      </c>
      <c r="D55" s="130"/>
      <c r="E55" s="130" t="s">
        <v>239</v>
      </c>
      <c r="F55" s="312"/>
      <c r="G55" s="313"/>
      <c r="H55" s="313"/>
      <c r="I55" s="313"/>
      <c r="J55" s="314"/>
      <c r="N55" s="6"/>
      <c r="V55" s="9" t="s">
        <v>290</v>
      </c>
      <c r="W55" s="9"/>
      <c r="Z55" s="79">
        <f>W59*W60*Utslippsdata!C78/W58</f>
        <v>5.0112597937020005E-3</v>
      </c>
      <c r="AA55" s="9" t="s">
        <v>297</v>
      </c>
      <c r="AE55" s="9">
        <f>D64*Utslippsdata!C140</f>
        <v>0</v>
      </c>
      <c r="AF55" s="9" t="s">
        <v>271</v>
      </c>
      <c r="AI55" s="9" t="str">
        <f ca="1">AJ42&amp;" "&amp;AK42</f>
        <v xml:space="preserve">0 hotellsenger, </v>
      </c>
      <c r="AJ55" s="2" t="str">
        <f ca="1">IF(AJ42=0,"",AI55)</f>
        <v/>
      </c>
    </row>
    <row r="56" spans="3:46">
      <c r="C56" s="20" t="s">
        <v>302</v>
      </c>
      <c r="D56" s="130"/>
      <c r="E56" s="130" t="s">
        <v>239</v>
      </c>
      <c r="F56" s="312"/>
      <c r="G56" s="313"/>
      <c r="H56" s="313"/>
      <c r="I56" s="313"/>
      <c r="J56" s="314"/>
      <c r="N56" s="6"/>
      <c r="V56" s="9" t="s">
        <v>303</v>
      </c>
      <c r="W56" s="9">
        <v>1.462518</v>
      </c>
      <c r="X56" s="2" t="s">
        <v>304</v>
      </c>
      <c r="Z56" s="79">
        <f>W61*W63*W56/W58</f>
        <v>7.2654119999999989E-2</v>
      </c>
      <c r="AA56" s="9" t="s">
        <v>297</v>
      </c>
      <c r="AE56" s="9">
        <f>D65*Utslippsdata!C141</f>
        <v>0</v>
      </c>
      <c r="AF56" s="9" t="s">
        <v>271</v>
      </c>
      <c r="AI56" s="230" t="str">
        <f ca="1">AJ48&amp;" "&amp;AK48</f>
        <v xml:space="preserve">0 bosatte, </v>
      </c>
      <c r="AJ56" s="2" t="str">
        <f ca="1">IF(AJ48=0,"",AI56)</f>
        <v/>
      </c>
      <c r="AN56" s="158" t="s">
        <v>305</v>
      </c>
      <c r="AO56" s="159"/>
      <c r="AP56" s="159"/>
      <c r="AQ56" s="159"/>
      <c r="AR56" s="160"/>
    </row>
    <row r="57" spans="3:46">
      <c r="C57" s="20" t="s">
        <v>306</v>
      </c>
      <c r="D57" s="130"/>
      <c r="E57" s="130" t="s">
        <v>239</v>
      </c>
      <c r="F57" s="312"/>
      <c r="G57" s="313"/>
      <c r="H57" s="313"/>
      <c r="I57" s="313"/>
      <c r="J57" s="314"/>
      <c r="N57" s="6"/>
      <c r="AE57" s="9">
        <f>D66*Utslippsdata!C142</f>
        <v>0</v>
      </c>
      <c r="AF57" s="9" t="s">
        <v>271</v>
      </c>
      <c r="AI57" s="81" t="str">
        <f ca="1">AJ50&amp;AJ51&amp;AJ52&amp;AJ53&amp;AJ54&amp;AJ55&amp;AJ56</f>
        <v/>
      </c>
      <c r="AJ57" s="81"/>
    </row>
    <row r="58" spans="3:46" ht="15">
      <c r="C58" s="19"/>
      <c r="D58" s="19"/>
      <c r="E58" s="19"/>
      <c r="F58" s="19"/>
      <c r="G58" s="19"/>
      <c r="H58" s="19"/>
      <c r="I58" s="19"/>
      <c r="J58" s="19"/>
      <c r="N58" s="6"/>
      <c r="V58" s="9" t="s">
        <v>307</v>
      </c>
      <c r="W58" s="9">
        <v>9.3000000000000007</v>
      </c>
      <c r="X58" s="9" t="s">
        <v>308</v>
      </c>
      <c r="AE58" s="24">
        <f>SUM(AE51:AE57)/1000</f>
        <v>0</v>
      </c>
      <c r="AF58" s="24" t="s">
        <v>223</v>
      </c>
      <c r="AI58" s="81">
        <f ca="1">AJ34+AJ36+AJ38+AJ40+AJ41+AJ42+AJ48</f>
        <v>0</v>
      </c>
      <c r="AJ58" s="81" t="s">
        <v>309</v>
      </c>
    </row>
    <row r="59" spans="3:46">
      <c r="C59" s="51" t="s">
        <v>310</v>
      </c>
      <c r="D59" s="51" t="s">
        <v>311</v>
      </c>
      <c r="E59" s="51" t="s">
        <v>172</v>
      </c>
      <c r="F59" s="212" t="s">
        <v>93</v>
      </c>
      <c r="G59" s="213"/>
      <c r="H59" s="213"/>
      <c r="I59" s="213"/>
      <c r="J59" s="169"/>
      <c r="N59" s="6"/>
      <c r="V59" s="9" t="s">
        <v>312</v>
      </c>
      <c r="W59" s="9">
        <f>0.45</f>
        <v>0.45</v>
      </c>
      <c r="X59" s="9" t="s">
        <v>313</v>
      </c>
      <c r="Y59" s="9" t="s">
        <v>314</v>
      </c>
      <c r="Z59" s="9" t="s">
        <v>315</v>
      </c>
    </row>
    <row r="60" spans="3:46">
      <c r="C60" s="20" t="s">
        <v>316</v>
      </c>
      <c r="D60" s="130"/>
      <c r="E60" s="130" t="s">
        <v>239</v>
      </c>
      <c r="F60" s="312"/>
      <c r="G60" s="313"/>
      <c r="H60" s="313"/>
      <c r="I60" s="313"/>
      <c r="J60" s="314"/>
      <c r="N60" s="6"/>
      <c r="V60" s="9" t="s">
        <v>317</v>
      </c>
      <c r="W60" s="9">
        <v>4.2888888888888896</v>
      </c>
      <c r="X60" s="9" t="s">
        <v>318</v>
      </c>
      <c r="Y60" s="9"/>
      <c r="Z60" s="9"/>
    </row>
    <row r="61" spans="3:46">
      <c r="C61" s="20" t="s">
        <v>319</v>
      </c>
      <c r="D61" s="130"/>
      <c r="E61" s="130" t="s">
        <v>239</v>
      </c>
      <c r="F61" s="312"/>
      <c r="G61" s="313"/>
      <c r="H61" s="313"/>
      <c r="I61" s="313"/>
      <c r="J61" s="314"/>
      <c r="N61" s="6"/>
      <c r="V61" s="9" t="s">
        <v>320</v>
      </c>
      <c r="W61" s="9">
        <v>0.7</v>
      </c>
      <c r="X61" s="9" t="s">
        <v>321</v>
      </c>
      <c r="Y61" s="9" t="s">
        <v>322</v>
      </c>
      <c r="Z61" s="9" t="s">
        <v>323</v>
      </c>
    </row>
    <row r="62" spans="3:46">
      <c r="C62" s="20" t="s">
        <v>324</v>
      </c>
      <c r="D62" s="130"/>
      <c r="E62" s="130" t="s">
        <v>239</v>
      </c>
      <c r="F62" s="312"/>
      <c r="G62" s="313"/>
      <c r="H62" s="313"/>
      <c r="I62" s="313"/>
      <c r="J62" s="314"/>
      <c r="N62" s="6"/>
      <c r="V62" s="9" t="s">
        <v>320</v>
      </c>
      <c r="W62" s="9">
        <f>623251/1080000</f>
        <v>0.57708425925925921</v>
      </c>
      <c r="X62" s="9" t="s">
        <v>321</v>
      </c>
      <c r="Y62" s="9" t="s">
        <v>325</v>
      </c>
      <c r="Z62" s="9"/>
    </row>
    <row r="63" spans="3:46">
      <c r="C63" s="20" t="s">
        <v>326</v>
      </c>
      <c r="D63" s="130"/>
      <c r="E63" s="130" t="s">
        <v>239</v>
      </c>
      <c r="F63" s="312"/>
      <c r="G63" s="313"/>
      <c r="H63" s="313"/>
      <c r="I63" s="313"/>
      <c r="J63" s="314"/>
      <c r="N63" s="6"/>
      <c r="V63" s="9" t="s">
        <v>303</v>
      </c>
      <c r="W63" s="9">
        <v>0.66</v>
      </c>
      <c r="X63" s="9" t="s">
        <v>327</v>
      </c>
      <c r="Y63" s="9" t="s">
        <v>325</v>
      </c>
      <c r="Z63" s="9"/>
      <c r="AI63" s="2" t="str">
        <f>AJ47&amp;" "&amp;AK47</f>
        <v xml:space="preserve"> </v>
      </c>
    </row>
    <row r="64" spans="3:46">
      <c r="C64" s="20" t="s">
        <v>328</v>
      </c>
      <c r="D64" s="130"/>
      <c r="E64" s="130" t="s">
        <v>309</v>
      </c>
      <c r="F64" s="312"/>
      <c r="G64" s="313"/>
      <c r="H64" s="313"/>
      <c r="I64" s="313"/>
      <c r="J64" s="314"/>
      <c r="N64" s="6"/>
    </row>
    <row r="65" spans="3:38">
      <c r="C65" s="20" t="s">
        <v>329</v>
      </c>
      <c r="D65" s="130"/>
      <c r="E65" s="130" t="s">
        <v>309</v>
      </c>
      <c r="F65" s="312"/>
      <c r="G65" s="313"/>
      <c r="H65" s="313"/>
      <c r="I65" s="313"/>
      <c r="J65" s="314"/>
      <c r="N65" s="6"/>
      <c r="V65" s="407" t="s">
        <v>330</v>
      </c>
      <c r="W65" s="407"/>
      <c r="X65" s="407"/>
      <c r="Y65" s="407"/>
      <c r="Z65" s="407"/>
    </row>
    <row r="66" spans="3:38">
      <c r="C66" s="20" t="s">
        <v>331</v>
      </c>
      <c r="D66" s="130"/>
      <c r="E66" s="130" t="s">
        <v>309</v>
      </c>
      <c r="F66" s="312"/>
      <c r="G66" s="313"/>
      <c r="H66" s="313"/>
      <c r="I66" s="313"/>
      <c r="J66" s="314"/>
      <c r="N66" s="6"/>
      <c r="V66" s="9" t="s">
        <v>332</v>
      </c>
      <c r="W66" s="9" t="s">
        <v>333</v>
      </c>
      <c r="X66" s="9" t="s">
        <v>65</v>
      </c>
      <c r="Y66" s="9" t="s">
        <v>334</v>
      </c>
      <c r="Z66" s="9"/>
    </row>
    <row r="67" spans="3:38">
      <c r="G67" s="337"/>
      <c r="H67" s="337"/>
      <c r="I67" s="337"/>
      <c r="J67" s="337"/>
      <c r="N67" s="6"/>
      <c r="V67" s="9">
        <v>50</v>
      </c>
      <c r="W67" s="9">
        <v>2</v>
      </c>
      <c r="X67" s="14">
        <f>E50*V67*W67*Z54/1000</f>
        <v>0</v>
      </c>
      <c r="Y67" s="14">
        <f>E50*D50*W67*VLOOKUP(G50,$V$53:$Z$56,$Z$51,FALSE)/1000</f>
        <v>0</v>
      </c>
      <c r="Z67" s="9" t="s">
        <v>335</v>
      </c>
    </row>
    <row r="68" spans="3:38" hidden="1">
      <c r="G68" s="337"/>
      <c r="H68" s="337"/>
      <c r="I68" s="337"/>
      <c r="J68" s="337"/>
      <c r="V68" s="9">
        <v>50</v>
      </c>
      <c r="W68" s="9">
        <v>2</v>
      </c>
      <c r="X68" s="14">
        <f>E51*V68*W68*Z54/1000</f>
        <v>0</v>
      </c>
      <c r="Y68" s="14">
        <f>E51*D51*W68*VLOOKUP(G51,$V$53:$Z$56,$Z$51,FALSE)/1000</f>
        <v>0</v>
      </c>
      <c r="Z68" s="9" t="s">
        <v>335</v>
      </c>
    </row>
    <row r="69" spans="3:38" hidden="1">
      <c r="G69" s="337"/>
      <c r="H69" s="337"/>
      <c r="I69" s="337"/>
      <c r="J69" s="337"/>
      <c r="X69" s="231">
        <f>X67+X68</f>
        <v>0</v>
      </c>
      <c r="Y69" s="231">
        <f>Y67+Y68</f>
        <v>0</v>
      </c>
      <c r="Z69" s="9" t="s">
        <v>335</v>
      </c>
    </row>
    <row r="70" spans="3:38" hidden="1"/>
    <row r="71" spans="3:38" hidden="1"/>
    <row r="72" spans="3:38" hidden="1"/>
    <row r="73" spans="3:38" hidden="1"/>
    <row r="74" spans="3:38" hidden="1"/>
    <row r="75" spans="3:38" hidden="1"/>
    <row r="76" spans="3:38" ht="25.5">
      <c r="C76" s="53" t="s">
        <v>435</v>
      </c>
    </row>
    <row r="78" spans="3:38" ht="15" customHeight="1">
      <c r="C78" s="360" t="s">
        <v>337</v>
      </c>
      <c r="D78" s="338" t="str">
        <f>"Tonn CO2 ekv, "&amp;VLOOKUP('Generelt om prosjektet'!C25,'Generelt om prosjektet'!W25:X28,2,FALSE)&amp;". Klimagassutslippene er oppgit uten hensyn til binding av biogent karbon."</f>
        <v>Tonn CO2 ekv, GWP. Klimagassutslippene er oppgit uten hensyn til binding av biogent karbon.</v>
      </c>
      <c r="E78" s="339"/>
      <c r="F78" s="339"/>
      <c r="G78" s="339"/>
      <c r="H78" s="329" t="s">
        <v>338</v>
      </c>
      <c r="I78" s="232" t="s">
        <v>93</v>
      </c>
      <c r="J78" s="233"/>
      <c r="K78" s="233"/>
      <c r="L78" s="234"/>
      <c r="V78" s="6" t="s">
        <v>339</v>
      </c>
    </row>
    <row r="79" spans="3:38" ht="45" customHeight="1">
      <c r="C79" s="361"/>
      <c r="D79" s="151" t="s">
        <v>340</v>
      </c>
      <c r="E79" s="235" t="s">
        <v>341</v>
      </c>
      <c r="F79" s="235" t="s">
        <v>342</v>
      </c>
      <c r="G79" s="236" t="s">
        <v>170</v>
      </c>
      <c r="H79" s="330"/>
      <c r="I79" s="237"/>
      <c r="J79" s="238"/>
      <c r="K79" s="238"/>
      <c r="L79" s="239"/>
      <c r="V79" s="8" t="s">
        <v>65</v>
      </c>
      <c r="W79" s="8" t="s">
        <v>343</v>
      </c>
      <c r="X79" s="8" t="s">
        <v>344</v>
      </c>
      <c r="Y79" s="8" t="s">
        <v>345</v>
      </c>
      <c r="Z79" s="8" t="s">
        <v>346</v>
      </c>
      <c r="AA79" s="5" t="s">
        <v>614</v>
      </c>
    </row>
    <row r="80" spans="3:38" ht="30" customHeight="1">
      <c r="C80" s="152" t="s">
        <v>347</v>
      </c>
      <c r="D80" s="240"/>
      <c r="E80" s="140"/>
      <c r="F80" s="241"/>
      <c r="G80" s="242">
        <f>E80</f>
        <v>0</v>
      </c>
      <c r="H80" s="243">
        <f>IF(G93=0,0,IF(G80=0,0.1,G80))</f>
        <v>0</v>
      </c>
      <c r="I80" s="334"/>
      <c r="J80" s="335"/>
      <c r="K80" s="335"/>
      <c r="L80" s="336"/>
      <c r="U80" s="62">
        <f>G80</f>
        <v>0</v>
      </c>
      <c r="V80" s="244">
        <f>SUM(BB19:BB24)/1000</f>
        <v>0</v>
      </c>
      <c r="W80" s="245" t="s">
        <v>348</v>
      </c>
      <c r="X80" s="9" t="s">
        <v>349</v>
      </c>
      <c r="Y80" s="245" t="s">
        <v>350</v>
      </c>
      <c r="Z80" s="9" t="s">
        <v>349</v>
      </c>
      <c r="AH80" s="15" t="s">
        <v>32</v>
      </c>
      <c r="AI80" s="14">
        <f>G80</f>
        <v>0</v>
      </c>
      <c r="AJ80" s="100">
        <f>V80</f>
        <v>0</v>
      </c>
      <c r="AK80" s="78">
        <f>IFERROR(AI80/AJ80,0)</f>
        <v>0</v>
      </c>
      <c r="AL80" s="9"/>
    </row>
    <row r="81" spans="3:38" ht="15" customHeight="1">
      <c r="C81" s="214" t="s">
        <v>351</v>
      </c>
      <c r="D81" s="140"/>
      <c r="E81" s="140"/>
      <c r="F81" s="240"/>
      <c r="G81" s="242">
        <f>D81+E81</f>
        <v>0</v>
      </c>
      <c r="H81" s="246">
        <f>IFERROR(G81/V81,1)</f>
        <v>1</v>
      </c>
      <c r="I81" s="318"/>
      <c r="J81" s="319"/>
      <c r="K81" s="319"/>
      <c r="L81" s="320"/>
      <c r="U81" s="62">
        <f>G81</f>
        <v>0</v>
      </c>
      <c r="V81" s="247">
        <f>(AN25+AS25+AO25+AT25)/1000</f>
        <v>0</v>
      </c>
      <c r="W81" s="248">
        <v>1.1000000000000001</v>
      </c>
      <c r="X81" s="248">
        <v>0.9</v>
      </c>
      <c r="Y81" s="248">
        <v>0.1</v>
      </c>
      <c r="Z81" s="249">
        <v>0</v>
      </c>
      <c r="AH81" s="15" t="s">
        <v>33</v>
      </c>
      <c r="AI81" s="14">
        <f>G81</f>
        <v>0</v>
      </c>
      <c r="AJ81" s="14">
        <f>V81</f>
        <v>0</v>
      </c>
      <c r="AK81" s="78">
        <f>IFERROR(AI81/AJ81,0)</f>
        <v>0</v>
      </c>
      <c r="AL81" s="9"/>
    </row>
    <row r="82" spans="3:38">
      <c r="C82" s="20" t="s">
        <v>352</v>
      </c>
      <c r="D82" s="140"/>
      <c r="E82" s="140"/>
      <c r="F82" s="140"/>
      <c r="G82" s="242">
        <f>D82+E82+F82</f>
        <v>0</v>
      </c>
      <c r="H82" s="246">
        <f>IFERROR(G82/V82,1)</f>
        <v>1</v>
      </c>
      <c r="I82" s="331"/>
      <c r="J82" s="332"/>
      <c r="K82" s="332"/>
      <c r="L82" s="333"/>
      <c r="U82" s="62">
        <f>G82</f>
        <v>0</v>
      </c>
      <c r="V82" s="247">
        <f>(SUM(AN19:AN24)+SUM(AS19:AS24))/1000</f>
        <v>0</v>
      </c>
      <c r="W82" s="248">
        <v>1.1000000000000001</v>
      </c>
      <c r="X82" s="248">
        <v>0.9</v>
      </c>
      <c r="Y82" s="248">
        <v>0.1</v>
      </c>
      <c r="Z82" s="249">
        <v>0</v>
      </c>
      <c r="AA82" s="2">
        <f>SUM(BO19:BO24)/1000</f>
        <v>0</v>
      </c>
      <c r="AH82" s="9" t="s">
        <v>36</v>
      </c>
      <c r="AI82" s="14">
        <f>G82+G83+G89+G92</f>
        <v>0</v>
      </c>
      <c r="AJ82" s="14">
        <f>V82+V83+V89</f>
        <v>0</v>
      </c>
      <c r="AK82" s="78">
        <f>IFERROR(AI82/AJ82,0)</f>
        <v>0</v>
      </c>
      <c r="AL82" s="9"/>
    </row>
    <row r="83" spans="3:38">
      <c r="C83" s="20" t="s">
        <v>353</v>
      </c>
      <c r="D83" s="140"/>
      <c r="E83" s="140"/>
      <c r="F83" s="140"/>
      <c r="G83" s="242">
        <f>D83+E83+F83</f>
        <v>0</v>
      </c>
      <c r="H83" s="246">
        <f>IFERROR(G83/V83,1)</f>
        <v>1</v>
      </c>
      <c r="I83" s="318"/>
      <c r="J83" s="319"/>
      <c r="K83" s="319"/>
      <c r="L83" s="320"/>
      <c r="U83" s="62">
        <f>G83</f>
        <v>0</v>
      </c>
      <c r="V83" s="247">
        <f>(SUM(AO19:AO24)+SUM(AT19:AT24))/1000</f>
        <v>0</v>
      </c>
      <c r="W83" s="248">
        <v>1.1000000000000001</v>
      </c>
      <c r="X83" s="248">
        <v>0.9</v>
      </c>
      <c r="Y83" s="248">
        <v>0.1</v>
      </c>
      <c r="Z83" s="249">
        <v>0</v>
      </c>
      <c r="AH83" s="9" t="s">
        <v>38</v>
      </c>
      <c r="AI83" s="14">
        <f>G84+G85+G86</f>
        <v>0</v>
      </c>
      <c r="AJ83" s="14">
        <f>V84+V85+V86</f>
        <v>0</v>
      </c>
      <c r="AK83" s="78">
        <f>IFERROR((AI83-G85)/AJ83,0)</f>
        <v>0</v>
      </c>
      <c r="AL83" s="9"/>
    </row>
    <row r="84" spans="3:38">
      <c r="C84" s="214" t="s">
        <v>354</v>
      </c>
      <c r="D84" s="140"/>
      <c r="E84" s="140"/>
      <c r="F84" s="140"/>
      <c r="G84" s="242">
        <f>D84+E84+F84</f>
        <v>0</v>
      </c>
      <c r="H84" s="246">
        <f>IFERROR(G84/V84,1)</f>
        <v>1</v>
      </c>
      <c r="I84" s="318"/>
      <c r="J84" s="319"/>
      <c r="K84" s="319"/>
      <c r="L84" s="320"/>
      <c r="U84" s="62">
        <f>G84</f>
        <v>0</v>
      </c>
      <c r="V84" s="247">
        <f>(SUM(AP19:AP25)+SUM(AU19:AU25))/1000</f>
        <v>0</v>
      </c>
      <c r="W84" s="248">
        <v>1.1000000000000001</v>
      </c>
      <c r="X84" s="248">
        <v>0.9</v>
      </c>
      <c r="Y84" s="248">
        <v>0.1</v>
      </c>
      <c r="Z84" s="249">
        <v>0</v>
      </c>
      <c r="AH84" s="9" t="s">
        <v>40</v>
      </c>
      <c r="AI84" s="14">
        <f>G90</f>
        <v>0</v>
      </c>
      <c r="AJ84" s="14">
        <f>V90</f>
        <v>0</v>
      </c>
      <c r="AK84" s="78">
        <f>IFERROR(AI84/AJ84,0)</f>
        <v>0</v>
      </c>
      <c r="AL84" s="9"/>
    </row>
    <row r="85" spans="3:38">
      <c r="C85" s="214" t="s">
        <v>355</v>
      </c>
      <c r="D85" s="365"/>
      <c r="E85" s="366"/>
      <c r="F85" s="367"/>
      <c r="G85" s="242">
        <f>D85</f>
        <v>0</v>
      </c>
      <c r="H85" s="250" t="s">
        <v>349</v>
      </c>
      <c r="I85" s="318"/>
      <c r="J85" s="319"/>
      <c r="K85" s="319"/>
      <c r="L85" s="320"/>
      <c r="U85" s="62"/>
      <c r="V85" s="251"/>
      <c r="AH85" s="9" t="s">
        <v>42</v>
      </c>
      <c r="AI85" s="14">
        <f>G87+G88</f>
        <v>0</v>
      </c>
      <c r="AJ85" s="14">
        <f>V87+V88</f>
        <v>0</v>
      </c>
      <c r="AK85" s="78">
        <f>IFERROR(AI85/AJ85,0)</f>
        <v>0</v>
      </c>
      <c r="AL85" s="9"/>
    </row>
    <row r="86" spans="3:38">
      <c r="C86" s="214" t="s">
        <v>356</v>
      </c>
      <c r="D86" s="409">
        <f>Y69</f>
        <v>0</v>
      </c>
      <c r="E86" s="410"/>
      <c r="F86" s="411"/>
      <c r="G86" s="242">
        <f>D86</f>
        <v>0</v>
      </c>
      <c r="H86" s="246">
        <f>IFERROR(G86/V86,1)</f>
        <v>1</v>
      </c>
      <c r="I86" s="331"/>
      <c r="J86" s="332"/>
      <c r="K86" s="332"/>
      <c r="L86" s="333"/>
      <c r="U86" s="62">
        <f>G86</f>
        <v>0</v>
      </c>
      <c r="V86" s="247">
        <f>X69</f>
        <v>0</v>
      </c>
      <c r="W86" s="248">
        <v>1.1000000000000001</v>
      </c>
      <c r="X86" s="248">
        <v>0.9</v>
      </c>
      <c r="Y86" s="248">
        <v>0</v>
      </c>
      <c r="Z86" s="245" t="s">
        <v>349</v>
      </c>
      <c r="AH86" s="9" t="s">
        <v>44</v>
      </c>
      <c r="AI86" s="14">
        <f>G91</f>
        <v>0</v>
      </c>
      <c r="AJ86" s="14">
        <f>V91</f>
        <v>0</v>
      </c>
      <c r="AK86" s="78">
        <f>IFERROR(AI86/AJ86,0)</f>
        <v>0</v>
      </c>
      <c r="AL86" s="9"/>
    </row>
    <row r="87" spans="3:38" ht="15" customHeight="1">
      <c r="C87" s="214" t="s">
        <v>357</v>
      </c>
      <c r="D87" s="409">
        <f>AE48</f>
        <v>0</v>
      </c>
      <c r="E87" s="410"/>
      <c r="F87" s="411"/>
      <c r="G87" s="242">
        <f t="shared" ref="G87:G93" si="21">D87+E87+F87</f>
        <v>0</v>
      </c>
      <c r="H87" s="316">
        <f>V87</f>
        <v>0</v>
      </c>
      <c r="I87" s="318"/>
      <c r="J87" s="319"/>
      <c r="K87" s="319"/>
      <c r="L87" s="320"/>
      <c r="U87" s="62">
        <f>G87+G88</f>
        <v>0</v>
      </c>
      <c r="V87" s="14">
        <f>(G87+G88)</f>
        <v>0</v>
      </c>
      <c r="W87" s="252" t="s">
        <v>358</v>
      </c>
      <c r="X87" s="252" t="s">
        <v>359</v>
      </c>
      <c r="Y87" s="252" t="s">
        <v>360</v>
      </c>
      <c r="Z87" s="245" t="s">
        <v>349</v>
      </c>
      <c r="AH87" s="9"/>
      <c r="AI87" s="14">
        <f>SUM(AI80:AI86)</f>
        <v>0</v>
      </c>
      <c r="AJ87" s="9"/>
      <c r="AK87" s="78"/>
      <c r="AL87" s="9"/>
    </row>
    <row r="88" spans="3:38" ht="15" customHeight="1">
      <c r="C88" s="214" t="s">
        <v>361</v>
      </c>
      <c r="D88" s="362">
        <f>AE58</f>
        <v>0</v>
      </c>
      <c r="E88" s="363"/>
      <c r="F88" s="364"/>
      <c r="G88" s="242">
        <f t="shared" si="21"/>
        <v>0</v>
      </c>
      <c r="H88" s="317"/>
      <c r="I88" s="334"/>
      <c r="J88" s="335"/>
      <c r="K88" s="335"/>
      <c r="L88" s="336"/>
      <c r="U88" s="62"/>
      <c r="V88" s="14"/>
      <c r="W88" s="252" t="s">
        <v>358</v>
      </c>
      <c r="X88" s="252" t="s">
        <v>359</v>
      </c>
      <c r="Y88" s="252" t="s">
        <v>360</v>
      </c>
      <c r="Z88" s="245" t="s">
        <v>349</v>
      </c>
    </row>
    <row r="89" spans="3:38">
      <c r="C89" s="20" t="str">
        <f>"B2, B4, Drift og vedlikehold, "&amp;'Generelt om prosjektet'!C24&amp;" år"</f>
        <v>B2, B4, Drift og vedlikehold, 50 år</v>
      </c>
      <c r="D89" s="140"/>
      <c r="E89" s="140"/>
      <c r="F89" s="140"/>
      <c r="G89" s="242">
        <f t="shared" si="21"/>
        <v>0</v>
      </c>
      <c r="H89" s="246">
        <f>IFERROR(G89/V89,1)</f>
        <v>1</v>
      </c>
      <c r="I89" s="331"/>
      <c r="J89" s="332"/>
      <c r="K89" s="332"/>
      <c r="L89" s="333"/>
      <c r="U89" s="62">
        <f>G89</f>
        <v>0</v>
      </c>
      <c r="V89" s="247">
        <f>(SUM(AQ19:AQ24)+SUM(AV19:AV24))/1000</f>
        <v>0</v>
      </c>
      <c r="W89" s="248">
        <v>1.1000000000000001</v>
      </c>
      <c r="X89" s="248">
        <v>0.9</v>
      </c>
      <c r="Y89" s="248">
        <v>0.1</v>
      </c>
      <c r="Z89" s="249">
        <v>0</v>
      </c>
    </row>
    <row r="90" spans="3:38">
      <c r="C90" s="20" t="str">
        <f>"B6: Energi i drift, "&amp;'Generelt om prosjektet'!C24&amp;" år"</f>
        <v>B6: Energi i drift, 50 år</v>
      </c>
      <c r="D90" s="362">
        <f>SUM(AF36:AF39)</f>
        <v>0</v>
      </c>
      <c r="E90" s="363"/>
      <c r="F90" s="364"/>
      <c r="G90" s="242">
        <f t="shared" si="21"/>
        <v>0</v>
      </c>
      <c r="H90" s="246">
        <f>IFERROR(G90/V90,1)</f>
        <v>1</v>
      </c>
      <c r="I90" s="318"/>
      <c r="J90" s="319"/>
      <c r="K90" s="319"/>
      <c r="L90" s="320"/>
      <c r="U90" s="62">
        <f>G90</f>
        <v>0</v>
      </c>
      <c r="V90" s="247">
        <f>AQ50</f>
        <v>0</v>
      </c>
      <c r="W90" s="248">
        <v>1.1000000000000001</v>
      </c>
      <c r="X90" s="248">
        <v>0.9</v>
      </c>
      <c r="Y90" s="248">
        <v>0.1</v>
      </c>
      <c r="Z90" s="249">
        <v>0</v>
      </c>
    </row>
    <row r="91" spans="3:38">
      <c r="C91" s="214" t="s">
        <v>362</v>
      </c>
      <c r="D91" s="143"/>
      <c r="E91" s="143"/>
      <c r="F91" s="143"/>
      <c r="G91" s="242">
        <f t="shared" si="21"/>
        <v>0</v>
      </c>
      <c r="H91" s="246">
        <f>IFERROR(G91/V91,1)</f>
        <v>1</v>
      </c>
      <c r="I91" s="318"/>
      <c r="J91" s="319"/>
      <c r="K91" s="319"/>
      <c r="L91" s="320"/>
      <c r="U91" s="62">
        <f>G91</f>
        <v>0</v>
      </c>
      <c r="V91" s="247">
        <f>(SUM(AR19:AR25)+SUM(AW19:AW25))/1000</f>
        <v>0</v>
      </c>
      <c r="W91" s="248">
        <v>1.1000000000000001</v>
      </c>
      <c r="X91" s="248">
        <v>0.9</v>
      </c>
      <c r="Y91" s="248">
        <v>0.4</v>
      </c>
      <c r="Z91" s="249">
        <v>0</v>
      </c>
    </row>
    <row r="92" spans="3:38">
      <c r="C92" s="214" t="s">
        <v>363</v>
      </c>
      <c r="D92" s="241">
        <f>IF(E44=Nei,AF40,0)</f>
        <v>0</v>
      </c>
      <c r="E92" s="241"/>
      <c r="F92" s="241"/>
      <c r="G92" s="242">
        <f t="shared" si="21"/>
        <v>0</v>
      </c>
      <c r="H92" s="253" t="s">
        <v>349</v>
      </c>
      <c r="I92" s="318"/>
      <c r="J92" s="319"/>
      <c r="K92" s="319"/>
      <c r="L92" s="320"/>
      <c r="U92" s="62"/>
      <c r="V92" s="251"/>
      <c r="W92" s="254"/>
      <c r="X92" s="254"/>
      <c r="Y92" s="254"/>
    </row>
    <row r="93" spans="3:38">
      <c r="C93" s="255" t="s">
        <v>364</v>
      </c>
      <c r="D93" s="256">
        <f>SUM(D80:D92)</f>
        <v>0</v>
      </c>
      <c r="E93" s="256">
        <f>SUM(E80:E92)</f>
        <v>0</v>
      </c>
      <c r="F93" s="256">
        <f>SUM(F80:F92)</f>
        <v>0</v>
      </c>
      <c r="G93" s="256">
        <f t="shared" si="21"/>
        <v>0</v>
      </c>
      <c r="H93" s="257">
        <f>IFERROR(U93/V93,0)</f>
        <v>0</v>
      </c>
      <c r="I93" s="357"/>
      <c r="J93" s="358"/>
      <c r="K93" s="358"/>
      <c r="L93" s="359"/>
      <c r="U93" s="224">
        <f>SUM(U80:U92)</f>
        <v>0</v>
      </c>
      <c r="V93" s="224">
        <f>SUM(V80:V92)</f>
        <v>0</v>
      </c>
    </row>
    <row r="94" spans="3:38">
      <c r="C94" s="19"/>
      <c r="D94" s="19"/>
      <c r="E94" s="19"/>
      <c r="F94" s="19"/>
      <c r="G94" s="19"/>
      <c r="H94" s="19"/>
      <c r="I94" s="19"/>
      <c r="J94" s="19"/>
      <c r="K94" s="19"/>
      <c r="L94" s="19"/>
    </row>
    <row r="95" spans="3:38">
      <c r="C95" s="19"/>
      <c r="D95" s="19"/>
      <c r="E95" s="19"/>
      <c r="F95" s="19"/>
      <c r="G95" s="19"/>
      <c r="H95" s="19"/>
      <c r="I95" s="19"/>
      <c r="J95" s="19"/>
      <c r="K95" s="19"/>
      <c r="L95" s="19"/>
    </row>
    <row r="96" spans="3:38">
      <c r="C96" s="354" t="s">
        <v>365</v>
      </c>
      <c r="D96" s="338" t="str">
        <f>D78</f>
        <v>Tonn CO2 ekv, GWP. Klimagassutslippene er oppgit uten hensyn til binding av biogent karbon.</v>
      </c>
      <c r="E96" s="339"/>
      <c r="F96" s="339"/>
      <c r="G96" s="339"/>
      <c r="H96" s="356"/>
      <c r="I96" s="232" t="s">
        <v>93</v>
      </c>
      <c r="J96" s="258"/>
      <c r="K96" s="233"/>
      <c r="L96" s="234"/>
    </row>
    <row r="97" spans="3:24" ht="30" customHeight="1">
      <c r="C97" s="355"/>
      <c r="D97" s="151" t="s">
        <v>340</v>
      </c>
      <c r="E97" s="235" t="s">
        <v>162</v>
      </c>
      <c r="F97" s="235" t="s">
        <v>163</v>
      </c>
      <c r="G97" s="393" t="s">
        <v>170</v>
      </c>
      <c r="H97" s="394"/>
      <c r="I97" s="237"/>
      <c r="J97" s="259"/>
      <c r="K97" s="238"/>
      <c r="L97" s="239"/>
    </row>
    <row r="98" spans="3:24">
      <c r="C98" s="214" t="s">
        <v>366</v>
      </c>
      <c r="D98" s="340"/>
      <c r="E98" s="342"/>
      <c r="F98" s="241"/>
      <c r="G98" s="395">
        <f>D98</f>
        <v>0</v>
      </c>
      <c r="H98" s="396"/>
      <c r="I98" s="340"/>
      <c r="J98" s="341"/>
      <c r="K98" s="341"/>
      <c r="L98" s="342"/>
    </row>
    <row r="99" spans="3:24" ht="30" customHeight="1">
      <c r="C99" s="20" t="s">
        <v>47</v>
      </c>
      <c r="D99" s="391" t="str">
        <f ca="1">IF(AX32&gt;0,"Beregnet med "&amp;AX32&amp;" års 'restlevetid' til beregningsperioden på "&amp;'Generelt om prosjektet'!C24&amp;" år","")</f>
        <v/>
      </c>
      <c r="E99" s="392"/>
      <c r="F99" s="260">
        <f ca="1">SUM(AX33:BA33)/1000</f>
        <v>0</v>
      </c>
      <c r="G99" s="395">
        <f ca="1">F99</f>
        <v>0</v>
      </c>
      <c r="H99" s="396"/>
      <c r="I99" s="340"/>
      <c r="J99" s="341"/>
      <c r="K99" s="341"/>
      <c r="L99" s="342"/>
    </row>
    <row r="100" spans="3:24">
      <c r="C100" s="343" t="s">
        <v>436</v>
      </c>
      <c r="D100" s="344"/>
      <c r="E100" s="344"/>
      <c r="F100" s="344"/>
      <c r="G100" s="344"/>
      <c r="H100" s="344"/>
      <c r="I100" s="344"/>
      <c r="J100" s="344"/>
      <c r="K100" s="344"/>
      <c r="L100" s="345"/>
    </row>
    <row r="101" spans="3:24">
      <c r="C101" s="346"/>
      <c r="D101" s="347"/>
      <c r="E101" s="347"/>
      <c r="F101" s="347"/>
      <c r="G101" s="347"/>
      <c r="H101" s="347"/>
      <c r="I101" s="347"/>
      <c r="J101" s="347"/>
      <c r="K101" s="347"/>
      <c r="L101" s="348"/>
    </row>
    <row r="102" spans="3:24">
      <c r="C102" s="346"/>
      <c r="D102" s="347"/>
      <c r="E102" s="347"/>
      <c r="F102" s="347"/>
      <c r="G102" s="347"/>
      <c r="H102" s="347"/>
      <c r="I102" s="347"/>
      <c r="J102" s="347"/>
      <c r="K102" s="347"/>
      <c r="L102" s="348"/>
    </row>
    <row r="103" spans="3:24">
      <c r="C103" s="349"/>
      <c r="D103" s="350"/>
      <c r="E103" s="350"/>
      <c r="F103" s="350"/>
      <c r="G103" s="350"/>
      <c r="H103" s="350"/>
      <c r="I103" s="350"/>
      <c r="J103" s="350"/>
      <c r="K103" s="350"/>
      <c r="L103" s="351"/>
    </row>
    <row r="107" spans="3:24" ht="25.5">
      <c r="C107" s="53" t="str">
        <f>"Alternativ 4: Resultat. B6: Energi i drift, "&amp;'Generelt om prosjektet'!C24&amp;" år, ulike utslippsfaktorer for energi"</f>
        <v>Alternativ 4: Resultat. B6: Energi i drift, 50 år, ulike utslippsfaktorer for energi</v>
      </c>
    </row>
    <row r="108" spans="3:24">
      <c r="C108" s="19"/>
      <c r="D108" s="19"/>
      <c r="E108" s="19"/>
      <c r="F108" s="19"/>
      <c r="G108" s="19"/>
      <c r="H108" s="19"/>
      <c r="I108" s="19"/>
    </row>
    <row r="109" spans="3:24">
      <c r="C109" s="19"/>
      <c r="D109" s="311" t="s">
        <v>368</v>
      </c>
      <c r="E109" s="311"/>
      <c r="F109" s="311"/>
      <c r="G109" s="19"/>
      <c r="H109" s="19"/>
      <c r="I109" s="19"/>
    </row>
    <row r="110" spans="3:24" ht="25.5">
      <c r="C110" s="51" t="s">
        <v>369</v>
      </c>
      <c r="D110" s="51" t="s">
        <v>370</v>
      </c>
      <c r="E110" s="51" t="s">
        <v>371</v>
      </c>
      <c r="F110" s="51" t="s">
        <v>372</v>
      </c>
      <c r="G110" s="261" t="str">
        <f>"Beregnet utslipp over "&amp;'Generelt om prosjektet'!C24&amp;" år"</f>
        <v>Beregnet utslipp over 50 år</v>
      </c>
      <c r="H110" s="151" t="s">
        <v>172</v>
      </c>
      <c r="I110" s="19"/>
    </row>
    <row r="111" spans="3:24">
      <c r="C111" s="20" t="s">
        <v>373</v>
      </c>
      <c r="D111" s="262">
        <f>Utslippsdata!C77</f>
        <v>1.7747665114285747E-2</v>
      </c>
      <c r="E111" s="262">
        <f>Utslippsdata!C83</f>
        <v>1.4693376033679371E-2</v>
      </c>
      <c r="F111" s="20">
        <f>E37</f>
        <v>0</v>
      </c>
      <c r="G111" s="242">
        <f>(($W$111+$W$114)*D111+$W$112*E111+$W$113*F111)*$W$115/1000</f>
        <v>0</v>
      </c>
      <c r="H111" s="20" t="s">
        <v>374</v>
      </c>
      <c r="I111" s="19"/>
      <c r="V111" s="9" t="s">
        <v>370</v>
      </c>
      <c r="W111" s="14">
        <f>E34</f>
        <v>0</v>
      </c>
      <c r="X111" s="9" t="s">
        <v>375</v>
      </c>
    </row>
    <row r="112" spans="3:24">
      <c r="C112" s="437" t="s">
        <v>382</v>
      </c>
      <c r="D112" s="438">
        <f>Utslippsdata!C76</f>
        <v>0.10462896495714274</v>
      </c>
      <c r="E112" s="438">
        <f>Utslippsdata!C80</f>
        <v>3.8751119274583641E-2</v>
      </c>
      <c r="F112" s="437">
        <f>E37</f>
        <v>0</v>
      </c>
      <c r="G112" s="439">
        <f>(($W$111+$W$114)*D112+$W$112*E112+$W$113*F112)*$W$115/1000</f>
        <v>0</v>
      </c>
      <c r="H112" s="437" t="s">
        <v>374</v>
      </c>
      <c r="I112" s="19"/>
      <c r="V112" s="9" t="s">
        <v>377</v>
      </c>
      <c r="W112" s="14">
        <f>E35</f>
        <v>0</v>
      </c>
      <c r="X112" s="9" t="s">
        <v>375</v>
      </c>
    </row>
    <row r="113" spans="3:27">
      <c r="C113" s="19"/>
      <c r="D113" s="19"/>
      <c r="E113" s="19"/>
      <c r="F113" s="19"/>
      <c r="G113" s="19"/>
      <c r="H113" s="19"/>
      <c r="I113" s="19"/>
      <c r="V113" s="9" t="s">
        <v>378</v>
      </c>
      <c r="W113" s="14">
        <f>E36</f>
        <v>0</v>
      </c>
      <c r="X113" s="9" t="s">
        <v>375</v>
      </c>
    </row>
    <row r="114" spans="3:27">
      <c r="C114" s="19"/>
      <c r="D114" s="311" t="s">
        <v>368</v>
      </c>
      <c r="E114" s="311"/>
      <c r="F114" s="311"/>
      <c r="G114" s="19"/>
      <c r="H114" s="19"/>
      <c r="I114" s="19"/>
      <c r="V114" s="9" t="s">
        <v>379</v>
      </c>
      <c r="W114" s="14">
        <f>E39</f>
        <v>0</v>
      </c>
      <c r="X114" s="9" t="s">
        <v>375</v>
      </c>
    </row>
    <row r="115" spans="3:27" ht="38.25">
      <c r="C115" s="235" t="s">
        <v>380</v>
      </c>
      <c r="D115" s="51" t="s">
        <v>370</v>
      </c>
      <c r="E115" s="51" t="s">
        <v>371</v>
      </c>
      <c r="F115" s="51" t="s">
        <v>372</v>
      </c>
      <c r="G115" s="261" t="str">
        <f>"Beregnet utslipp over "&amp;'Generelt om prosjektet'!C29&amp;" år"</f>
        <v>Beregnet utslipp over  år</v>
      </c>
      <c r="H115" s="151" t="s">
        <v>172</v>
      </c>
      <c r="I115" s="19"/>
      <c r="V115" s="9" t="s">
        <v>381</v>
      </c>
      <c r="W115" s="9">
        <f>'Generelt om prosjektet'!C24</f>
        <v>50</v>
      </c>
      <c r="X115" s="9"/>
    </row>
    <row r="116" spans="3:27">
      <c r="C116" s="20" t="s">
        <v>373</v>
      </c>
      <c r="D116" s="262">
        <f>D111</f>
        <v>1.7747665114285747E-2</v>
      </c>
      <c r="E116" s="262">
        <f>Utslippsdata!C84</f>
        <v>6.5088487419817986E-2</v>
      </c>
      <c r="F116" s="20">
        <f>E37</f>
        <v>0</v>
      </c>
      <c r="G116" s="242">
        <f>(($W$111+$W$114)*D116+$W$112*E116+$W$113*F116)*$W$115/1000</f>
        <v>0</v>
      </c>
      <c r="H116" s="20" t="s">
        <v>374</v>
      </c>
      <c r="I116" s="19"/>
    </row>
    <row r="117" spans="3:27">
      <c r="C117" s="441" t="s">
        <v>376</v>
      </c>
      <c r="D117" s="442">
        <f>D112</f>
        <v>0.10462896495714274</v>
      </c>
      <c r="E117" s="442">
        <f>Utslippsdata!C81</f>
        <v>8.9146230660722248E-2</v>
      </c>
      <c r="F117" s="441">
        <f>E37</f>
        <v>0</v>
      </c>
      <c r="G117" s="443">
        <f>(($W$111+$W$114)*D117+$W$112*E117+$W$113*F117)*$W$115/1000</f>
        <v>0</v>
      </c>
      <c r="H117" s="441" t="s">
        <v>374</v>
      </c>
      <c r="I117" s="19"/>
    </row>
    <row r="118" spans="3:27">
      <c r="C118" s="19"/>
      <c r="D118" s="19"/>
      <c r="E118" s="19"/>
      <c r="F118" s="19"/>
      <c r="G118" s="19"/>
      <c r="H118" s="19"/>
      <c r="I118" s="19"/>
    </row>
    <row r="119" spans="3:27">
      <c r="C119" s="19"/>
      <c r="D119" s="19"/>
      <c r="E119" s="19"/>
      <c r="F119" s="19"/>
      <c r="G119" s="19"/>
      <c r="H119" s="19"/>
      <c r="I119" s="19"/>
    </row>
    <row r="122" spans="3:27" ht="15" customHeight="1"/>
    <row r="123" spans="3:27" ht="15" customHeight="1"/>
    <row r="124" spans="3:27" ht="15" customHeight="1"/>
    <row r="125" spans="3:27">
      <c r="AA125" s="9" t="s">
        <v>277</v>
      </c>
    </row>
    <row r="126" spans="3:27">
      <c r="AA126" s="9" t="s">
        <v>269</v>
      </c>
    </row>
    <row r="127" spans="3:27" ht="27">
      <c r="C127" s="1" t="s">
        <v>437</v>
      </c>
      <c r="D127" s="12"/>
    </row>
    <row r="128" spans="3:27" ht="15" customHeight="1">
      <c r="C128" s="132" t="s">
        <v>384</v>
      </c>
      <c r="D128" s="147" t="s">
        <v>269</v>
      </c>
    </row>
    <row r="130" spans="3:50" ht="15.75" thickBot="1">
      <c r="C130" s="5" t="s">
        <v>385</v>
      </c>
    </row>
    <row r="131" spans="3:50" ht="128.25">
      <c r="C131" s="263" t="s">
        <v>386</v>
      </c>
      <c r="D131" s="264" t="s">
        <v>347</v>
      </c>
      <c r="E131" s="264" t="s">
        <v>387</v>
      </c>
      <c r="F131" s="264" t="s">
        <v>388</v>
      </c>
      <c r="G131" s="264" t="s">
        <v>177</v>
      </c>
      <c r="H131" s="264" t="s">
        <v>354</v>
      </c>
      <c r="I131" s="264" t="s">
        <v>355</v>
      </c>
      <c r="J131" s="264" t="s">
        <v>356</v>
      </c>
      <c r="K131" s="264" t="s">
        <v>357</v>
      </c>
      <c r="L131" s="264" t="s">
        <v>361</v>
      </c>
      <c r="M131" s="264" t="s">
        <v>635</v>
      </c>
      <c r="N131" s="264" t="s">
        <v>389</v>
      </c>
      <c r="O131" s="264" t="s">
        <v>366</v>
      </c>
      <c r="P131" s="264" t="s">
        <v>180</v>
      </c>
      <c r="Q131" s="264" t="s">
        <v>390</v>
      </c>
      <c r="R131" s="148" t="s">
        <v>391</v>
      </c>
      <c r="S131" s="148" t="s">
        <v>391</v>
      </c>
      <c r="T131" s="148" t="s">
        <v>391</v>
      </c>
      <c r="U131" s="265"/>
      <c r="AK131" s="266">
        <v>1</v>
      </c>
      <c r="AL131" s="267">
        <v>2</v>
      </c>
      <c r="AM131" s="267">
        <v>3</v>
      </c>
      <c r="AN131" s="267">
        <v>4</v>
      </c>
      <c r="AO131" s="267">
        <v>5</v>
      </c>
      <c r="AP131" s="267">
        <v>6</v>
      </c>
      <c r="AQ131" s="267">
        <v>7</v>
      </c>
      <c r="AR131" s="267">
        <v>8</v>
      </c>
      <c r="AS131" s="267">
        <v>9</v>
      </c>
      <c r="AT131" s="267">
        <v>10</v>
      </c>
      <c r="AU131" s="267">
        <v>11</v>
      </c>
      <c r="AV131" s="267">
        <v>12</v>
      </c>
      <c r="AW131" s="267">
        <v>13</v>
      </c>
      <c r="AX131" s="45"/>
    </row>
    <row r="132" spans="3:50">
      <c r="C132" s="9" t="s">
        <v>392</v>
      </c>
      <c r="D132" s="145"/>
      <c r="E132" s="145"/>
      <c r="F132" s="145"/>
      <c r="G132" s="145"/>
      <c r="H132" s="145"/>
      <c r="I132" s="145"/>
      <c r="J132" s="145"/>
      <c r="K132" s="145"/>
      <c r="L132" s="145"/>
      <c r="M132" s="145"/>
      <c r="N132" s="145"/>
      <c r="O132" s="145"/>
      <c r="P132" s="145"/>
      <c r="Q132" s="145"/>
      <c r="R132" s="145"/>
      <c r="S132" s="145"/>
      <c r="T132" s="145"/>
      <c r="U132" s="265"/>
      <c r="AK132" s="46" t="s">
        <v>393</v>
      </c>
      <c r="AL132" s="2" t="s">
        <v>394</v>
      </c>
      <c r="AM132" s="2" t="s">
        <v>165</v>
      </c>
      <c r="AN132" s="2" t="s">
        <v>4</v>
      </c>
      <c r="AO132" s="2" t="s">
        <v>172</v>
      </c>
      <c r="AW132" s="2" t="s">
        <v>395</v>
      </c>
      <c r="AX132" s="47"/>
    </row>
    <row r="133" spans="3:50" ht="15">
      <c r="C133" s="9" t="s">
        <v>396</v>
      </c>
      <c r="D133" s="145"/>
      <c r="E133" s="145"/>
      <c r="F133" s="145"/>
      <c r="G133" s="145"/>
      <c r="H133" s="145"/>
      <c r="I133" s="145"/>
      <c r="J133" s="145"/>
      <c r="K133" s="145"/>
      <c r="L133" s="145"/>
      <c r="M133" s="145"/>
      <c r="N133" s="145"/>
      <c r="O133" s="145"/>
      <c r="P133" s="145"/>
      <c r="Q133" s="145"/>
      <c r="R133" s="145"/>
      <c r="S133" s="145"/>
      <c r="T133" s="145"/>
      <c r="U133" s="265"/>
      <c r="AK133" s="268" t="s">
        <v>188</v>
      </c>
      <c r="AL133" s="9"/>
      <c r="AM133" s="9"/>
      <c r="AN133" s="9"/>
      <c r="AW133" s="5" t="s">
        <v>397</v>
      </c>
      <c r="AX133" s="47"/>
    </row>
    <row r="134" spans="3:50">
      <c r="C134" s="9" t="s">
        <v>398</v>
      </c>
      <c r="D134" s="146"/>
      <c r="E134" s="146"/>
      <c r="F134" s="146"/>
      <c r="G134" s="146"/>
      <c r="H134" s="146"/>
      <c r="I134" s="146"/>
      <c r="J134" s="146"/>
      <c r="K134" s="146"/>
      <c r="L134" s="146"/>
      <c r="M134" s="146"/>
      <c r="N134" s="146"/>
      <c r="O134" s="146"/>
      <c r="P134" s="146"/>
      <c r="Q134" s="146"/>
      <c r="R134" s="146"/>
      <c r="S134" s="146"/>
      <c r="T134" s="146"/>
      <c r="AK134" s="268" t="s">
        <v>183</v>
      </c>
      <c r="AL134" s="9" t="s">
        <v>183</v>
      </c>
      <c r="AM134" s="9" t="s">
        <v>399</v>
      </c>
      <c r="AN134" s="9" t="s">
        <v>216</v>
      </c>
      <c r="AO134" s="269" t="s">
        <v>309</v>
      </c>
      <c r="AW134" s="9" t="s">
        <v>183</v>
      </c>
      <c r="AX134" s="47"/>
    </row>
    <row r="135" spans="3:50">
      <c r="C135" s="9" t="s">
        <v>400</v>
      </c>
      <c r="D135" s="146"/>
      <c r="E135" s="146"/>
      <c r="F135" s="146"/>
      <c r="G135" s="146"/>
      <c r="H135" s="146"/>
      <c r="I135" s="146"/>
      <c r="J135" s="146"/>
      <c r="K135" s="146"/>
      <c r="L135" s="146"/>
      <c r="M135" s="146"/>
      <c r="N135" s="146"/>
      <c r="O135" s="146"/>
      <c r="P135" s="146"/>
      <c r="Q135" s="146"/>
      <c r="R135" s="146"/>
      <c r="S135" s="146"/>
      <c r="T135" s="146"/>
      <c r="AK135" s="268" t="s">
        <v>185</v>
      </c>
      <c r="AL135" s="9" t="s">
        <v>185</v>
      </c>
      <c r="AM135" s="9" t="s">
        <v>401</v>
      </c>
      <c r="AN135" s="9" t="s">
        <v>220</v>
      </c>
      <c r="AO135" s="269" t="s">
        <v>309</v>
      </c>
      <c r="AR135" s="6" t="s">
        <v>402</v>
      </c>
      <c r="AW135" s="9" t="s">
        <v>185</v>
      </c>
      <c r="AX135" s="47"/>
    </row>
    <row r="136" spans="3:50">
      <c r="C136" s="9" t="s">
        <v>403</v>
      </c>
      <c r="D136" s="146"/>
      <c r="E136" s="146"/>
      <c r="F136" s="146"/>
      <c r="G136" s="146"/>
      <c r="H136" s="146"/>
      <c r="I136" s="146"/>
      <c r="J136" s="146"/>
      <c r="K136" s="146"/>
      <c r="L136" s="146"/>
      <c r="M136" s="146"/>
      <c r="N136" s="146"/>
      <c r="O136" s="146"/>
      <c r="P136" s="146"/>
      <c r="Q136" s="146"/>
      <c r="R136" s="146"/>
      <c r="S136" s="146"/>
      <c r="T136" s="146"/>
      <c r="AK136" s="268" t="s">
        <v>262</v>
      </c>
      <c r="AL136" s="9" t="s">
        <v>262</v>
      </c>
      <c r="AM136" s="9" t="s">
        <v>404</v>
      </c>
      <c r="AN136" s="9" t="s">
        <v>224</v>
      </c>
      <c r="AO136" s="269" t="s">
        <v>309</v>
      </c>
      <c r="AW136" s="9" t="s">
        <v>262</v>
      </c>
      <c r="AX136" s="47"/>
    </row>
    <row r="137" spans="3:50">
      <c r="C137" s="9" t="s">
        <v>405</v>
      </c>
      <c r="D137" s="146"/>
      <c r="E137" s="146"/>
      <c r="F137" s="146"/>
      <c r="G137" s="146"/>
      <c r="H137" s="146"/>
      <c r="I137" s="146"/>
      <c r="J137" s="146"/>
      <c r="K137" s="146"/>
      <c r="L137" s="146"/>
      <c r="M137" s="146"/>
      <c r="N137" s="146"/>
      <c r="O137" s="146"/>
      <c r="P137" s="146"/>
      <c r="Q137" s="146"/>
      <c r="R137" s="146"/>
      <c r="S137" s="146"/>
      <c r="T137" s="146"/>
      <c r="AK137" s="268" t="s">
        <v>279</v>
      </c>
      <c r="AL137" s="9" t="s">
        <v>279</v>
      </c>
      <c r="AM137" s="9" t="s">
        <v>406</v>
      </c>
      <c r="AN137" s="9" t="s">
        <v>230</v>
      </c>
      <c r="AO137" s="269"/>
      <c r="AQ137" s="2" t="s">
        <v>407</v>
      </c>
      <c r="AR137" s="2" t="s">
        <v>408</v>
      </c>
      <c r="AS137" s="2" t="s">
        <v>408</v>
      </c>
      <c r="AW137" s="9" t="s">
        <v>279</v>
      </c>
      <c r="AX137" s="47"/>
    </row>
    <row r="138" spans="3:50">
      <c r="C138" s="9" t="s">
        <v>409</v>
      </c>
      <c r="D138" s="146"/>
      <c r="E138" s="146"/>
      <c r="F138" s="146"/>
      <c r="G138" s="146"/>
      <c r="H138" s="146"/>
      <c r="I138" s="146"/>
      <c r="J138" s="146"/>
      <c r="K138" s="146"/>
      <c r="L138" s="146"/>
      <c r="M138" s="146"/>
      <c r="N138" s="146"/>
      <c r="O138" s="146"/>
      <c r="P138" s="146"/>
      <c r="Q138" s="146"/>
      <c r="R138" s="146"/>
      <c r="S138" s="146"/>
      <c r="T138" s="146"/>
      <c r="AK138" s="268" t="s">
        <v>267</v>
      </c>
      <c r="AL138" s="9" t="s">
        <v>267</v>
      </c>
      <c r="AM138" s="9" t="s">
        <v>410</v>
      </c>
      <c r="AN138" s="9" t="s">
        <v>241</v>
      </c>
      <c r="AO138" s="269" t="s">
        <v>309</v>
      </c>
      <c r="AW138" s="9" t="s">
        <v>267</v>
      </c>
      <c r="AX138" s="47"/>
    </row>
    <row r="139" spans="3:50">
      <c r="C139" s="9" t="s">
        <v>411</v>
      </c>
      <c r="D139" s="146"/>
      <c r="E139" s="146"/>
      <c r="F139" s="146"/>
      <c r="G139" s="146"/>
      <c r="H139" s="146"/>
      <c r="I139" s="146"/>
      <c r="J139" s="146"/>
      <c r="K139" s="146"/>
      <c r="L139" s="146"/>
      <c r="M139" s="146"/>
      <c r="N139" s="146"/>
      <c r="O139" s="146"/>
      <c r="P139" s="146"/>
      <c r="Q139" s="146"/>
      <c r="R139" s="146"/>
      <c r="S139" s="146"/>
      <c r="T139" s="146"/>
      <c r="AK139" s="268" t="s">
        <v>243</v>
      </c>
      <c r="AL139" s="9" t="s">
        <v>412</v>
      </c>
      <c r="AM139" s="9" t="s">
        <v>413</v>
      </c>
      <c r="AN139" s="9" t="s">
        <v>248</v>
      </c>
      <c r="AO139" s="269" t="s">
        <v>309</v>
      </c>
      <c r="AW139" s="9" t="s">
        <v>412</v>
      </c>
      <c r="AX139" s="47"/>
    </row>
    <row r="140" spans="3:50">
      <c r="C140" s="147" t="s">
        <v>391</v>
      </c>
      <c r="D140" s="146"/>
      <c r="E140" s="146"/>
      <c r="F140" s="146"/>
      <c r="G140" s="146"/>
      <c r="H140" s="146"/>
      <c r="I140" s="146"/>
      <c r="J140" s="146"/>
      <c r="K140" s="146"/>
      <c r="L140" s="146"/>
      <c r="M140" s="146"/>
      <c r="N140" s="146"/>
      <c r="O140" s="146"/>
      <c r="P140" s="146"/>
      <c r="Q140" s="146"/>
      <c r="R140" s="146"/>
      <c r="S140" s="146"/>
      <c r="T140" s="146"/>
      <c r="AK140" s="268" t="s">
        <v>254</v>
      </c>
      <c r="AL140" s="9"/>
      <c r="AM140" s="9" t="s">
        <v>414</v>
      </c>
      <c r="AN140" s="9" t="s">
        <v>252</v>
      </c>
      <c r="AO140" s="269" t="s">
        <v>309</v>
      </c>
      <c r="AW140" s="270" t="s">
        <v>185</v>
      </c>
      <c r="AX140" s="47"/>
    </row>
    <row r="141" spans="3:50">
      <c r="C141" s="147" t="s">
        <v>391</v>
      </c>
      <c r="D141" s="146"/>
      <c r="E141" s="146"/>
      <c r="F141" s="146"/>
      <c r="G141" s="146"/>
      <c r="H141" s="146"/>
      <c r="I141" s="146"/>
      <c r="J141" s="146"/>
      <c r="K141" s="146"/>
      <c r="L141" s="146"/>
      <c r="M141" s="146"/>
      <c r="N141" s="146"/>
      <c r="O141" s="146"/>
      <c r="P141" s="146"/>
      <c r="Q141" s="146"/>
      <c r="R141" s="146"/>
      <c r="S141" s="146"/>
      <c r="T141" s="146"/>
      <c r="AK141" s="268" t="s">
        <v>280</v>
      </c>
      <c r="AL141" s="9"/>
      <c r="AM141" s="9" t="s">
        <v>415</v>
      </c>
      <c r="AN141" s="9" t="s">
        <v>257</v>
      </c>
      <c r="AO141" s="269" t="s">
        <v>309</v>
      </c>
      <c r="AX141" s="47"/>
    </row>
    <row r="142" spans="3:50">
      <c r="C142" s="147" t="s">
        <v>391</v>
      </c>
      <c r="D142" s="146"/>
      <c r="E142" s="146"/>
      <c r="F142" s="146"/>
      <c r="G142" s="146"/>
      <c r="H142" s="146"/>
      <c r="I142" s="146"/>
      <c r="J142" s="146"/>
      <c r="K142" s="146"/>
      <c r="L142" s="146"/>
      <c r="M142" s="146"/>
      <c r="N142" s="146"/>
      <c r="O142" s="146"/>
      <c r="P142" s="146"/>
      <c r="Q142" s="146"/>
      <c r="R142" s="146"/>
      <c r="S142" s="146"/>
      <c r="T142" s="146"/>
      <c r="AK142" s="268" t="s">
        <v>272</v>
      </c>
      <c r="AL142" s="9"/>
      <c r="AM142" s="9" t="s">
        <v>416</v>
      </c>
      <c r="AN142" s="9" t="s">
        <v>260</v>
      </c>
      <c r="AO142" s="269" t="s">
        <v>309</v>
      </c>
      <c r="AW142" s="9" t="s">
        <v>185</v>
      </c>
      <c r="AX142" s="47"/>
    </row>
    <row r="143" spans="3:50" ht="15">
      <c r="C143" s="271" t="s">
        <v>417</v>
      </c>
      <c r="D143" s="271">
        <f t="shared" ref="D143:T143" si="22">SUM(D132:D142)</f>
        <v>0</v>
      </c>
      <c r="E143" s="271">
        <f t="shared" si="22"/>
        <v>0</v>
      </c>
      <c r="F143" s="271">
        <f t="shared" si="22"/>
        <v>0</v>
      </c>
      <c r="G143" s="271">
        <f t="shared" si="22"/>
        <v>0</v>
      </c>
      <c r="H143" s="271">
        <f t="shared" si="22"/>
        <v>0</v>
      </c>
      <c r="I143" s="271">
        <f t="shared" si="22"/>
        <v>0</v>
      </c>
      <c r="J143" s="271">
        <f t="shared" si="22"/>
        <v>0</v>
      </c>
      <c r="K143" s="271">
        <f t="shared" si="22"/>
        <v>0</v>
      </c>
      <c r="L143" s="271">
        <f t="shared" si="22"/>
        <v>0</v>
      </c>
      <c r="M143" s="271">
        <f t="shared" si="22"/>
        <v>0</v>
      </c>
      <c r="N143" s="271">
        <f t="shared" si="22"/>
        <v>0</v>
      </c>
      <c r="O143" s="271">
        <f t="shared" si="22"/>
        <v>0</v>
      </c>
      <c r="P143" s="271">
        <f t="shared" si="22"/>
        <v>0</v>
      </c>
      <c r="Q143" s="271">
        <f t="shared" si="22"/>
        <v>0</v>
      </c>
      <c r="R143" s="271">
        <f t="shared" si="22"/>
        <v>0</v>
      </c>
      <c r="S143" s="271">
        <f t="shared" si="22"/>
        <v>0</v>
      </c>
      <c r="T143" s="271">
        <f t="shared" si="22"/>
        <v>0</v>
      </c>
      <c r="AK143" s="268" t="s">
        <v>276</v>
      </c>
      <c r="AL143" s="9" t="s">
        <v>418</v>
      </c>
      <c r="AM143" s="9" t="s">
        <v>419</v>
      </c>
      <c r="AN143" s="9" t="s">
        <v>230</v>
      </c>
      <c r="AO143" s="269"/>
      <c r="AQ143" s="2" t="s">
        <v>407</v>
      </c>
      <c r="AR143" s="2" t="s">
        <v>408</v>
      </c>
      <c r="AW143" s="9" t="s">
        <v>418</v>
      </c>
      <c r="AX143" s="47"/>
    </row>
    <row r="144" spans="3:50">
      <c r="I144" s="6"/>
      <c r="AK144" s="268" t="s">
        <v>286</v>
      </c>
      <c r="AL144" s="9" t="s">
        <v>418</v>
      </c>
      <c r="AM144" s="9" t="s">
        <v>420</v>
      </c>
      <c r="AN144" s="9" t="s">
        <v>230</v>
      </c>
      <c r="AO144" s="269"/>
      <c r="AQ144" s="2" t="s">
        <v>407</v>
      </c>
      <c r="AR144" s="2" t="s">
        <v>408</v>
      </c>
      <c r="AW144" s="9" t="s">
        <v>418</v>
      </c>
      <c r="AX144" s="47"/>
    </row>
    <row r="145" spans="3:50">
      <c r="AK145" s="268" t="s">
        <v>421</v>
      </c>
      <c r="AL145" s="9"/>
      <c r="AM145" s="9" t="s">
        <v>422</v>
      </c>
      <c r="AN145" s="9" t="s">
        <v>230</v>
      </c>
      <c r="AO145" s="269"/>
      <c r="AQ145" s="2" t="s">
        <v>407</v>
      </c>
      <c r="AR145" s="2" t="s">
        <v>408</v>
      </c>
      <c r="AW145" s="2" t="s">
        <v>423</v>
      </c>
      <c r="AX145" s="47"/>
    </row>
    <row r="146" spans="3:50" ht="15">
      <c r="C146" s="5" t="s">
        <v>424</v>
      </c>
      <c r="AK146" s="46"/>
      <c r="AX146" s="47"/>
    </row>
    <row r="147" spans="3:50" ht="128.25">
      <c r="C147" s="11" t="s">
        <v>386</v>
      </c>
      <c r="D147" s="264" t="s">
        <v>347</v>
      </c>
      <c r="E147" s="264" t="s">
        <v>387</v>
      </c>
      <c r="F147" s="264" t="s">
        <v>388</v>
      </c>
      <c r="G147" s="264" t="s">
        <v>177</v>
      </c>
      <c r="H147" s="264" t="s">
        <v>354</v>
      </c>
      <c r="I147" s="264" t="s">
        <v>355</v>
      </c>
      <c r="J147" s="264" t="s">
        <v>356</v>
      </c>
      <c r="K147" s="264" t="s">
        <v>357</v>
      </c>
      <c r="L147" s="264" t="s">
        <v>361</v>
      </c>
      <c r="M147" s="264" t="s">
        <v>635</v>
      </c>
      <c r="N147" s="264" t="s">
        <v>389</v>
      </c>
      <c r="O147" s="264" t="s">
        <v>366</v>
      </c>
      <c r="P147" s="264" t="s">
        <v>180</v>
      </c>
      <c r="Q147" s="264" t="s">
        <v>390</v>
      </c>
      <c r="R147" s="148" t="s">
        <v>391</v>
      </c>
      <c r="S147" s="148" t="s">
        <v>391</v>
      </c>
      <c r="T147" s="148" t="s">
        <v>391</v>
      </c>
      <c r="AK147" s="46" t="str">
        <f>AK133</f>
        <v>Velg arealtype</v>
      </c>
      <c r="AX147" s="47"/>
    </row>
    <row r="148" spans="3:50">
      <c r="C148" s="9" t="s">
        <v>392</v>
      </c>
      <c r="D148" s="145"/>
      <c r="E148" s="145"/>
      <c r="F148" s="145"/>
      <c r="G148" s="145"/>
      <c r="H148" s="145"/>
      <c r="I148" s="145"/>
      <c r="J148" s="145"/>
      <c r="K148" s="145"/>
      <c r="L148" s="145"/>
      <c r="M148" s="145"/>
      <c r="N148" s="145"/>
      <c r="O148" s="145"/>
      <c r="P148" s="145"/>
      <c r="Q148" s="145"/>
      <c r="R148" s="145"/>
      <c r="S148" s="145"/>
      <c r="T148" s="145"/>
      <c r="AK148" s="268" t="s">
        <v>150</v>
      </c>
      <c r="AL148" s="9" t="s">
        <v>425</v>
      </c>
      <c r="AM148" s="9" t="s">
        <v>426</v>
      </c>
      <c r="AN148" s="9" t="s">
        <v>230</v>
      </c>
      <c r="AO148" s="269"/>
      <c r="AQ148" s="2" t="s">
        <v>407</v>
      </c>
      <c r="AR148" s="2" t="s">
        <v>408</v>
      </c>
      <c r="AW148" s="9" t="s">
        <v>425</v>
      </c>
      <c r="AX148" s="47"/>
    </row>
    <row r="149" spans="3:50">
      <c r="C149" s="9" t="s">
        <v>396</v>
      </c>
      <c r="D149" s="145"/>
      <c r="E149" s="145"/>
      <c r="F149" s="145"/>
      <c r="G149" s="145"/>
      <c r="H149" s="145"/>
      <c r="I149" s="145"/>
      <c r="J149" s="145"/>
      <c r="K149" s="145"/>
      <c r="L149" s="145"/>
      <c r="M149" s="145"/>
      <c r="N149" s="145"/>
      <c r="O149" s="145"/>
      <c r="P149" s="145"/>
      <c r="Q149" s="145"/>
      <c r="R149" s="145"/>
      <c r="S149" s="145"/>
      <c r="T149" s="145"/>
      <c r="AK149" s="268" t="s">
        <v>148</v>
      </c>
      <c r="AL149" s="9" t="s">
        <v>427</v>
      </c>
      <c r="AM149" s="9" t="s">
        <v>428</v>
      </c>
      <c r="AN149" s="9" t="s">
        <v>266</v>
      </c>
      <c r="AO149" s="269" t="s">
        <v>309</v>
      </c>
      <c r="AW149" s="9" t="s">
        <v>427</v>
      </c>
      <c r="AX149" s="47"/>
    </row>
    <row r="150" spans="3:50">
      <c r="C150" s="9" t="s">
        <v>398</v>
      </c>
      <c r="D150" s="146"/>
      <c r="E150" s="146"/>
      <c r="F150" s="146"/>
      <c r="G150" s="146"/>
      <c r="H150" s="146"/>
      <c r="I150" s="146"/>
      <c r="J150" s="146"/>
      <c r="K150" s="146"/>
      <c r="L150" s="146"/>
      <c r="M150" s="146"/>
      <c r="N150" s="146"/>
      <c r="O150" s="146"/>
      <c r="P150" s="146"/>
      <c r="Q150" s="146"/>
      <c r="R150" s="146"/>
      <c r="S150" s="146"/>
      <c r="T150" s="146"/>
      <c r="AK150" s="268"/>
      <c r="AL150" s="9"/>
      <c r="AM150" s="9"/>
      <c r="AN150" s="9"/>
      <c r="AX150" s="47"/>
    </row>
    <row r="151" spans="3:50" ht="15" thickBot="1">
      <c r="C151" s="9" t="s">
        <v>400</v>
      </c>
      <c r="D151" s="146"/>
      <c r="E151" s="146"/>
      <c r="F151" s="146"/>
      <c r="G151" s="146"/>
      <c r="H151" s="146"/>
      <c r="I151" s="146"/>
      <c r="J151" s="146"/>
      <c r="K151" s="146"/>
      <c r="L151" s="146"/>
      <c r="M151" s="146"/>
      <c r="N151" s="146"/>
      <c r="O151" s="146"/>
      <c r="P151" s="146"/>
      <c r="Q151" s="146"/>
      <c r="R151" s="146"/>
      <c r="S151" s="146"/>
      <c r="T151" s="146"/>
      <c r="AK151" s="272" t="s">
        <v>429</v>
      </c>
      <c r="AL151" s="273"/>
      <c r="AM151" s="273"/>
      <c r="AN151" s="273"/>
      <c r="AO151" s="49"/>
      <c r="AP151" s="49"/>
      <c r="AQ151" s="49"/>
      <c r="AR151" s="49"/>
      <c r="AS151" s="49"/>
      <c r="AT151" s="49"/>
      <c r="AU151" s="49"/>
      <c r="AV151" s="49"/>
      <c r="AW151" s="49"/>
      <c r="AX151" s="50"/>
    </row>
    <row r="152" spans="3:50">
      <c r="C152" s="9" t="s">
        <v>403</v>
      </c>
      <c r="D152" s="146"/>
      <c r="E152" s="146"/>
      <c r="F152" s="146"/>
      <c r="G152" s="146"/>
      <c r="H152" s="146"/>
      <c r="I152" s="146"/>
      <c r="J152" s="146"/>
      <c r="K152" s="146"/>
      <c r="L152" s="146"/>
      <c r="M152" s="146"/>
      <c r="N152" s="146"/>
      <c r="O152" s="146"/>
      <c r="P152" s="146"/>
      <c r="Q152" s="146"/>
      <c r="R152" s="146"/>
      <c r="S152" s="146"/>
      <c r="T152" s="146"/>
    </row>
    <row r="153" spans="3:50">
      <c r="C153" s="9" t="s">
        <v>405</v>
      </c>
      <c r="D153" s="146"/>
      <c r="E153" s="146"/>
      <c r="F153" s="146"/>
      <c r="G153" s="146"/>
      <c r="H153" s="146"/>
      <c r="I153" s="146"/>
      <c r="J153" s="146"/>
      <c r="K153" s="146"/>
      <c r="L153" s="146"/>
      <c r="M153" s="146"/>
      <c r="N153" s="146"/>
      <c r="O153" s="146"/>
      <c r="P153" s="146"/>
      <c r="Q153" s="146"/>
      <c r="R153" s="146"/>
      <c r="S153" s="146"/>
      <c r="T153" s="146"/>
    </row>
    <row r="154" spans="3:50">
      <c r="C154" s="9" t="s">
        <v>409</v>
      </c>
      <c r="D154" s="146"/>
      <c r="E154" s="146"/>
      <c r="F154" s="146"/>
      <c r="G154" s="146"/>
      <c r="H154" s="146"/>
      <c r="I154" s="146"/>
      <c r="J154" s="146"/>
      <c r="K154" s="146"/>
      <c r="L154" s="146"/>
      <c r="M154" s="146"/>
      <c r="N154" s="146"/>
      <c r="O154" s="146"/>
      <c r="P154" s="146"/>
      <c r="Q154" s="146"/>
      <c r="R154" s="146"/>
      <c r="S154" s="146"/>
      <c r="T154" s="146"/>
    </row>
    <row r="155" spans="3:50">
      <c r="C155" s="9" t="s">
        <v>411</v>
      </c>
      <c r="D155" s="146"/>
      <c r="E155" s="146"/>
      <c r="F155" s="146"/>
      <c r="G155" s="146"/>
      <c r="H155" s="146"/>
      <c r="I155" s="146"/>
      <c r="J155" s="146"/>
      <c r="K155" s="146"/>
      <c r="L155" s="146"/>
      <c r="M155" s="146"/>
      <c r="N155" s="146"/>
      <c r="O155" s="146"/>
      <c r="P155" s="146"/>
      <c r="Q155" s="146"/>
      <c r="R155" s="146"/>
      <c r="S155" s="146"/>
      <c r="T155" s="146"/>
    </row>
    <row r="156" spans="3:50">
      <c r="C156" s="147" t="s">
        <v>391</v>
      </c>
      <c r="D156" s="146"/>
      <c r="E156" s="146"/>
      <c r="F156" s="146"/>
      <c r="G156" s="146"/>
      <c r="H156" s="146"/>
      <c r="I156" s="146"/>
      <c r="J156" s="146"/>
      <c r="K156" s="146"/>
      <c r="L156" s="146"/>
      <c r="M156" s="146"/>
      <c r="N156" s="146"/>
      <c r="O156" s="146"/>
      <c r="P156" s="146"/>
      <c r="Q156" s="146"/>
      <c r="R156" s="146"/>
      <c r="S156" s="146"/>
      <c r="T156" s="146"/>
    </row>
    <row r="157" spans="3:50">
      <c r="C157" s="147" t="s">
        <v>391</v>
      </c>
      <c r="D157" s="146"/>
      <c r="E157" s="146"/>
      <c r="F157" s="146"/>
      <c r="G157" s="146"/>
      <c r="H157" s="146"/>
      <c r="I157" s="146"/>
      <c r="J157" s="146"/>
      <c r="K157" s="146"/>
      <c r="L157" s="146"/>
      <c r="M157" s="146"/>
      <c r="N157" s="146"/>
      <c r="O157" s="146"/>
      <c r="P157" s="146"/>
      <c r="Q157" s="146"/>
      <c r="R157" s="146"/>
      <c r="S157" s="146"/>
      <c r="T157" s="146"/>
    </row>
    <row r="158" spans="3:50">
      <c r="C158" s="147" t="s">
        <v>391</v>
      </c>
      <c r="D158" s="146"/>
      <c r="E158" s="146"/>
      <c r="F158" s="146"/>
      <c r="G158" s="146"/>
      <c r="H158" s="146"/>
      <c r="I158" s="146"/>
      <c r="J158" s="146"/>
      <c r="K158" s="146"/>
      <c r="L158" s="146"/>
      <c r="M158" s="146"/>
      <c r="N158" s="146"/>
      <c r="O158" s="146"/>
      <c r="P158" s="146"/>
      <c r="Q158" s="146"/>
      <c r="R158" s="146"/>
      <c r="S158" s="146"/>
      <c r="T158" s="146"/>
    </row>
    <row r="159" spans="3:50" ht="15">
      <c r="C159" s="271" t="s">
        <v>417</v>
      </c>
      <c r="D159" s="271">
        <f t="shared" ref="D159:T159" si="23">SUM(D148:D158)</f>
        <v>0</v>
      </c>
      <c r="E159" s="271">
        <f t="shared" si="23"/>
        <v>0</v>
      </c>
      <c r="F159" s="271">
        <f t="shared" si="23"/>
        <v>0</v>
      </c>
      <c r="G159" s="271">
        <f t="shared" si="23"/>
        <v>0</v>
      </c>
      <c r="H159" s="271">
        <f t="shared" si="23"/>
        <v>0</v>
      </c>
      <c r="I159" s="271">
        <f t="shared" si="23"/>
        <v>0</v>
      </c>
      <c r="J159" s="271">
        <f t="shared" si="23"/>
        <v>0</v>
      </c>
      <c r="K159" s="271">
        <f t="shared" si="23"/>
        <v>0</v>
      </c>
      <c r="L159" s="271">
        <f t="shared" si="23"/>
        <v>0</v>
      </c>
      <c r="M159" s="271">
        <f t="shared" si="23"/>
        <v>0</v>
      </c>
      <c r="N159" s="271">
        <f t="shared" si="23"/>
        <v>0</v>
      </c>
      <c r="O159" s="271">
        <f t="shared" si="23"/>
        <v>0</v>
      </c>
      <c r="P159" s="271">
        <f t="shared" si="23"/>
        <v>0</v>
      </c>
      <c r="Q159" s="271">
        <f t="shared" si="23"/>
        <v>0</v>
      </c>
      <c r="R159" s="271">
        <f t="shared" si="23"/>
        <v>0</v>
      </c>
      <c r="S159" s="271">
        <f t="shared" si="23"/>
        <v>0</v>
      </c>
      <c r="T159" s="271">
        <f t="shared" si="23"/>
        <v>0</v>
      </c>
    </row>
  </sheetData>
  <sheetProtection algorithmName="SHA-512" hashValue="hOmEi/Os6vDkLONa7cpQGeoTkWNymFU1wYp01BiSOs7BkpSrZxUnQ7k7z1AAxgXVB2nb/2hyAlS9a/3NqxldAA==" saltValue="0dWXh9WlpTttwt5TL7kVIQ==" spinCount="100000" sheet="1" objects="1" scenarios="1"/>
  <mergeCells count="94">
    <mergeCell ref="AN16:BB16"/>
    <mergeCell ref="E17:F17"/>
    <mergeCell ref="G17:H17"/>
    <mergeCell ref="I17:J17"/>
    <mergeCell ref="K17:K18"/>
    <mergeCell ref="L17:N17"/>
    <mergeCell ref="AG17:AK17"/>
    <mergeCell ref="AN17:AR17"/>
    <mergeCell ref="AS17:AW17"/>
    <mergeCell ref="AX17:BB17"/>
    <mergeCell ref="D11:O11"/>
    <mergeCell ref="V1:BB1"/>
    <mergeCell ref="C7:O7"/>
    <mergeCell ref="D8:O8"/>
    <mergeCell ref="D9:O9"/>
    <mergeCell ref="D10:O10"/>
    <mergeCell ref="E26:F26"/>
    <mergeCell ref="G26:H26"/>
    <mergeCell ref="E25:F25"/>
    <mergeCell ref="G25:H25"/>
    <mergeCell ref="I25:J25"/>
    <mergeCell ref="G30:J30"/>
    <mergeCell ref="G31:J31"/>
    <mergeCell ref="G32:J32"/>
    <mergeCell ref="E27:F27"/>
    <mergeCell ref="G27:H27"/>
    <mergeCell ref="I27:J27"/>
    <mergeCell ref="G34:J34"/>
    <mergeCell ref="G35:J35"/>
    <mergeCell ref="D48:D49"/>
    <mergeCell ref="E48:E49"/>
    <mergeCell ref="F48:F49"/>
    <mergeCell ref="G48:G49"/>
    <mergeCell ref="H48:J49"/>
    <mergeCell ref="F57:J57"/>
    <mergeCell ref="AO36:AT36"/>
    <mergeCell ref="G37:J37"/>
    <mergeCell ref="G38:J38"/>
    <mergeCell ref="G39:J39"/>
    <mergeCell ref="F44:J44"/>
    <mergeCell ref="G36:J36"/>
    <mergeCell ref="H50:J50"/>
    <mergeCell ref="H51:J51"/>
    <mergeCell ref="F54:J54"/>
    <mergeCell ref="F55:J55"/>
    <mergeCell ref="F56:J56"/>
    <mergeCell ref="C78:C79"/>
    <mergeCell ref="D78:G78"/>
    <mergeCell ref="H78:H79"/>
    <mergeCell ref="F60:J60"/>
    <mergeCell ref="F61:J61"/>
    <mergeCell ref="F62:J62"/>
    <mergeCell ref="F63:J63"/>
    <mergeCell ref="F64:J64"/>
    <mergeCell ref="F65:J65"/>
    <mergeCell ref="I80:L80"/>
    <mergeCell ref="I81:L81"/>
    <mergeCell ref="I82:L82"/>
    <mergeCell ref="I83:L83"/>
    <mergeCell ref="I84:L84"/>
    <mergeCell ref="V65:Z65"/>
    <mergeCell ref="F66:J66"/>
    <mergeCell ref="G67:J67"/>
    <mergeCell ref="G68:J68"/>
    <mergeCell ref="G69:J69"/>
    <mergeCell ref="I90:L90"/>
    <mergeCell ref="I91:L91"/>
    <mergeCell ref="I92:L92"/>
    <mergeCell ref="D85:F85"/>
    <mergeCell ref="I85:L85"/>
    <mergeCell ref="D114:F114"/>
    <mergeCell ref="C96:C97"/>
    <mergeCell ref="D96:H96"/>
    <mergeCell ref="G97:H97"/>
    <mergeCell ref="D98:E98"/>
    <mergeCell ref="G98:H98"/>
    <mergeCell ref="D99:E99"/>
    <mergeCell ref="G99:H99"/>
    <mergeCell ref="BD15:BO15"/>
    <mergeCell ref="BF17:BJ17"/>
    <mergeCell ref="I99:L99"/>
    <mergeCell ref="C100:L103"/>
    <mergeCell ref="D109:F109"/>
    <mergeCell ref="I98:L98"/>
    <mergeCell ref="I93:L93"/>
    <mergeCell ref="D86:F86"/>
    <mergeCell ref="I86:L86"/>
    <mergeCell ref="D87:F87"/>
    <mergeCell ref="H87:H88"/>
    <mergeCell ref="I87:L87"/>
    <mergeCell ref="D88:F88"/>
    <mergeCell ref="I88:L88"/>
    <mergeCell ref="I89:L89"/>
    <mergeCell ref="D90:F90"/>
  </mergeCells>
  <conditionalFormatting sqref="C44:F44 C43:J43 C45:C46">
    <cfRule type="expression" dxfId="61" priority="26">
      <formula>$V$46=0</formula>
    </cfRule>
  </conditionalFormatting>
  <conditionalFormatting sqref="C29:J30">
    <cfRule type="expression" dxfId="60" priority="33">
      <formula>$V$40=0</formula>
    </cfRule>
  </conditionalFormatting>
  <conditionalFormatting sqref="C130:T159">
    <cfRule type="expression" dxfId="59" priority="3">
      <formula>$D$128=$AA$126</formula>
    </cfRule>
  </conditionalFormatting>
  <conditionalFormatting sqref="D80:D91">
    <cfRule type="expression" dxfId="58" priority="42">
      <formula>$V$29=0</formula>
    </cfRule>
  </conditionalFormatting>
  <conditionalFormatting sqref="D81">
    <cfRule type="expression" dxfId="57" priority="2">
      <formula>$E$25+$E$26=0</formula>
    </cfRule>
  </conditionalFormatting>
  <conditionalFormatting sqref="D92">
    <cfRule type="expression" dxfId="56" priority="5">
      <formula>$D$92=0</formula>
    </cfRule>
    <cfRule type="expression" dxfId="55" priority="46">
      <formula>$E$44&lt;&gt;Nei</formula>
    </cfRule>
  </conditionalFormatting>
  <conditionalFormatting sqref="D85:F88 D90:F90">
    <cfRule type="expression" dxfId="54" priority="9">
      <formula>$V$32&gt;0</formula>
    </cfRule>
  </conditionalFormatting>
  <conditionalFormatting sqref="D86:F86">
    <cfRule type="expression" dxfId="53" priority="8">
      <formula>$D$86=0</formula>
    </cfRule>
  </conditionalFormatting>
  <conditionalFormatting sqref="D87:F87">
    <cfRule type="expression" dxfId="52" priority="7">
      <formula>$D$87=0</formula>
    </cfRule>
  </conditionalFormatting>
  <conditionalFormatting sqref="D88:F88">
    <cfRule type="expression" dxfId="51" priority="6">
      <formula>$D$88=0</formula>
    </cfRule>
  </conditionalFormatting>
  <conditionalFormatting sqref="D90:F90">
    <cfRule type="expression" dxfId="50" priority="1">
      <formula>$D$90=0</formula>
    </cfRule>
  </conditionalFormatting>
  <conditionalFormatting sqref="E37">
    <cfRule type="expression" dxfId="49" priority="10">
      <formula>$E$36=""</formula>
    </cfRule>
    <cfRule type="expression" dxfId="48" priority="11">
      <formula>$E$36=0</formula>
    </cfRule>
  </conditionalFormatting>
  <conditionalFormatting sqref="E80:E84 E89 E91">
    <cfRule type="expression" dxfId="47" priority="43">
      <formula>$W$29=0</formula>
    </cfRule>
  </conditionalFormatting>
  <conditionalFormatting sqref="E25:F26">
    <cfRule type="expression" dxfId="46" priority="36">
      <formula>$V$29=0</formula>
    </cfRule>
    <cfRule type="expression" dxfId="45" priority="37">
      <formula>$V$29&gt;0</formula>
    </cfRule>
  </conditionalFormatting>
  <conditionalFormatting sqref="E19:J24">
    <cfRule type="expression" dxfId="44" priority="24">
      <formula>$W19=0</formula>
    </cfRule>
    <cfRule type="expression" dxfId="43" priority="25">
      <formula>$W19=1</formula>
    </cfRule>
  </conditionalFormatting>
  <conditionalFormatting sqref="F82:F84 F89 F91">
    <cfRule type="expression" dxfId="42" priority="44">
      <formula>$V$30=0</formula>
    </cfRule>
  </conditionalFormatting>
  <conditionalFormatting sqref="F44:J44">
    <cfRule type="expression" dxfId="41" priority="12">
      <formula>$V$46=0</formula>
    </cfRule>
  </conditionalFormatting>
  <conditionalFormatting sqref="G25:H26">
    <cfRule type="expression" dxfId="40" priority="38">
      <formula>$W$29=0</formula>
    </cfRule>
    <cfRule type="expression" dxfId="39" priority="39">
      <formula>$W$29&gt;0</formula>
    </cfRule>
  </conditionalFormatting>
  <conditionalFormatting sqref="G27:H27">
    <cfRule type="expression" dxfId="38" priority="45">
      <formula>$W$29&gt;0</formula>
    </cfRule>
  </conditionalFormatting>
  <conditionalFormatting sqref="H85">
    <cfRule type="iconSet" priority="20">
      <iconSet>
        <cfvo type="percent" val="0"/>
        <cfvo type="percent" val="33"/>
        <cfvo type="percent" val="67"/>
      </iconSet>
    </cfRule>
  </conditionalFormatting>
  <conditionalFormatting sqref="I27:J27">
    <cfRule type="expression" dxfId="37" priority="40">
      <formula>$X$29=0</formula>
    </cfRule>
    <cfRule type="expression" dxfId="36" priority="41">
      <formula>$X$29&gt;0</formula>
    </cfRule>
  </conditionalFormatting>
  <conditionalFormatting sqref="K19:K24">
    <cfRule type="expression" dxfId="35" priority="32">
      <formula>V19=1</formula>
    </cfRule>
  </conditionalFormatting>
  <conditionalFormatting sqref="M19:N24">
    <cfRule type="expression" dxfId="34" priority="28">
      <formula>$X19=0</formula>
    </cfRule>
    <cfRule type="expression" dxfId="33" priority="29">
      <formula>$X19=1</formula>
    </cfRule>
  </conditionalFormatting>
  <conditionalFormatting sqref="N19:N24">
    <cfRule type="expression" dxfId="32" priority="27">
      <formula>$L19&lt;&gt;""</formula>
    </cfRule>
  </conditionalFormatting>
  <conditionalFormatting sqref="AB4:AC4">
    <cfRule type="expression" dxfId="31" priority="4">
      <formula>$Z$11=0</formula>
    </cfRule>
  </conditionalFormatting>
  <dataValidations count="7">
    <dataValidation type="list" allowBlank="1" showInputMessage="1" showErrorMessage="1" sqref="D128" xr:uid="{817E76F6-2E19-497E-85C6-8E3D98E71A36}">
      <formula1>$AA$125:$AA$126</formula1>
    </dataValidation>
    <dataValidation type="list" allowBlank="1" showInputMessage="1" showErrorMessage="1" sqref="D19:D22" xr:uid="{BEA1A896-56A0-45CA-A9D7-D87F09CB6693}">
      <formula1>$AK$133:$AK$145</formula1>
    </dataValidation>
    <dataValidation type="list" allowBlank="1" showInputMessage="1" showErrorMessage="1" sqref="D23:D24" xr:uid="{95231DF7-B91F-41DE-A33B-289509CBE821}">
      <formula1>$AK$147:$AK$149</formula1>
    </dataValidation>
    <dataValidation type="list" allowBlank="1" showInputMessage="1" showErrorMessage="1" sqref="G50:G51" xr:uid="{ADC69A57-398F-46E7-9061-3F4A4E2E16B8}">
      <formula1>$V$53:$V$56</formula1>
    </dataValidation>
    <dataValidation type="list" allowBlank="1" showInputMessage="1" showErrorMessage="1" sqref="D41" xr:uid="{AACE7A35-4579-4EE6-A6E7-3041C7289A0D}">
      <formula1>$AA$40:$AA$42</formula1>
    </dataValidation>
    <dataValidation type="list" allowBlank="1" showInputMessage="1" showErrorMessage="1" sqref="E44" xr:uid="{5AC7BAB2-A44C-408E-80FC-58314052EDAE}">
      <formula1>$AA$45:$AA$47</formula1>
    </dataValidation>
    <dataValidation type="whole" operator="lessThan" allowBlank="1" showInputMessage="1" showErrorMessage="1" error="Oppgi produsert strøm fra solceller som negativt tall" sqref="E39" xr:uid="{F2A5B106-1048-4270-9776-D2AB013BBA8B}">
      <formula1>1</formula1>
    </dataValidation>
  </dataValidations>
  <pageMargins left="0.7" right="0.7" top="0.75" bottom="0.75" header="0.3" footer="0.3"/>
  <pageSetup paperSize="9" scale="39" fitToHeight="0" orientation="landscape" verticalDpi="0" r:id="rId1"/>
  <rowBreaks count="2" manualBreakCount="2">
    <brk id="75" max="16383" man="1"/>
    <brk id="126"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23" id="{45342D86-2227-495C-97A2-0EB782439878}">
            <x14:iconSet custom="1">
              <x14:cfvo type="percent">
                <xm:f>0</xm:f>
              </x14:cfvo>
              <x14:cfvo type="num">
                <xm:f>0.09</xm:f>
              </x14:cfvo>
              <x14:cfvo type="num">
                <xm:f>0.11</xm:f>
              </x14:cfvo>
              <x14:cfIcon iconSet="3TrafficLights1" iconId="1"/>
              <x14:cfIcon iconSet="3TrafficLights1" iconId="2"/>
              <x14:cfIcon iconSet="3TrafficLights1" iconId="0"/>
            </x14:iconSet>
          </x14:cfRule>
          <xm:sqref>H80</xm:sqref>
        </x14:conditionalFormatting>
        <x14:conditionalFormatting xmlns:xm="http://schemas.microsoft.com/office/excel/2006/main">
          <x14:cfRule type="iconSet" priority="18" id="{CCBCA301-F66E-43D3-8E18-5B2FA0384230}">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H81</xm:sqref>
        </x14:conditionalFormatting>
        <x14:conditionalFormatting xmlns:xm="http://schemas.microsoft.com/office/excel/2006/main">
          <x14:cfRule type="iconSet" priority="19" id="{285C50E5-7D57-4EE2-9CCA-A19827C1FC62}">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7" id="{B928C4F8-5E6F-4193-8008-60449165BA6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H83</xm:sqref>
        </x14:conditionalFormatting>
        <x14:conditionalFormatting xmlns:xm="http://schemas.microsoft.com/office/excel/2006/main">
          <x14:cfRule type="iconSet" priority="16" id="{95D67DAC-AD74-41BB-B610-5DB8C78D9BFA}">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21" id="{976239FB-BD2F-4B5E-9060-8F4BA9EDAC97}">
            <x14:iconSet custom="1">
              <x14:cfvo type="percent">
                <xm:f>0</xm:f>
              </x14:cfvo>
              <x14:cfvo type="num">
                <xm:f>0.9</xm:f>
              </x14:cfvo>
              <x14:cfvo type="num">
                <xm:f>1.1000000000000001</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22" id="{00C43E1B-CFE2-4BB0-8908-63FA1421698B}">
            <x14:iconSet custom="1">
              <x14:cfvo type="percent">
                <xm:f>0</xm:f>
              </x14:cfvo>
              <x14:cfvo type="num">
                <xm:f>0</xm:f>
              </x14:cfvo>
              <x14:cfvo type="num" gte="0">
                <xm:f>0</xm:f>
              </x14:cfvo>
              <x14:cfIcon iconSet="3TrafficLights1" iconId="2"/>
              <x14:cfIcon iconSet="3TrafficLights1" iconId="1"/>
              <x14:cfIcon iconSet="3TrafficLights1" iconId="0"/>
            </x14:iconSet>
          </x14:cfRule>
          <xm:sqref>H87</xm:sqref>
        </x14:conditionalFormatting>
        <x14:conditionalFormatting xmlns:xm="http://schemas.microsoft.com/office/excel/2006/main">
          <x14:cfRule type="iconSet" priority="15" id="{8FF13BDA-2E60-4818-8C70-199DC3DB9F1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H89</xm:sqref>
        </x14:conditionalFormatting>
        <x14:conditionalFormatting xmlns:xm="http://schemas.microsoft.com/office/excel/2006/main">
          <x14:cfRule type="iconSet" priority="14" id="{B55F1E1D-658E-4B46-A529-D3FD193ED8FC}">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3" id="{15DF0957-F17C-4EB4-BD59-9038A00DA534}">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H91</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3A3F8-568C-4CEB-A385-4C5EE52B843F}">
  <sheetPr>
    <pageSetUpPr fitToPage="1"/>
  </sheetPr>
  <dimension ref="C1:BP159"/>
  <sheetViews>
    <sheetView showGridLines="0" zoomScaleNormal="100" workbookViewId="0">
      <selection activeCell="D89" sqref="D89"/>
    </sheetView>
  </sheetViews>
  <sheetFormatPr defaultColWidth="9.140625" defaultRowHeight="14.25"/>
  <cols>
    <col min="1" max="1" width="1.7109375" style="2" customWidth="1"/>
    <col min="2" max="2" width="1" style="2" customWidth="1"/>
    <col min="3" max="3" width="64.85546875" style="2" customWidth="1"/>
    <col min="4" max="4" width="35.140625" style="2" customWidth="1"/>
    <col min="5" max="5" width="18.7109375" style="2" customWidth="1"/>
    <col min="6" max="6" width="17.42578125" style="2" customWidth="1"/>
    <col min="7" max="7" width="16.5703125" style="2" bestFit="1" customWidth="1"/>
    <col min="8" max="8" width="15.5703125" style="2" customWidth="1"/>
    <col min="9" max="9" width="15.140625" style="2" bestFit="1" customWidth="1"/>
    <col min="10" max="10" width="6.140625" style="2" customWidth="1"/>
    <col min="11" max="11" width="11.42578125" style="2" customWidth="1"/>
    <col min="12" max="12" width="30.85546875" style="2" customWidth="1"/>
    <col min="13" max="13" width="6.28515625" style="2" bestFit="1" customWidth="1"/>
    <col min="14" max="14" width="6.140625" style="2" bestFit="1" customWidth="1"/>
    <col min="15" max="15" width="27.42578125" style="2" customWidth="1"/>
    <col min="16" max="16" width="17.42578125" style="2" customWidth="1"/>
    <col min="17" max="17" width="13.85546875" style="2" customWidth="1"/>
    <col min="18" max="18" width="14.7109375" style="2" customWidth="1"/>
    <col min="19" max="20" width="9.140625" style="2" customWidth="1"/>
    <col min="21" max="21" width="3.140625" style="2" hidden="1" customWidth="1"/>
    <col min="22" max="22" width="25" style="2" hidden="1" customWidth="1"/>
    <col min="23" max="23" width="9.140625" style="2" hidden="1" customWidth="1"/>
    <col min="24" max="24" width="13" style="2" hidden="1" customWidth="1"/>
    <col min="25" max="25" width="9.140625" style="2" hidden="1" customWidth="1"/>
    <col min="26" max="26" width="14.42578125" style="2" hidden="1" customWidth="1"/>
    <col min="27" max="27" width="22.85546875" style="2" hidden="1" customWidth="1"/>
    <col min="28" max="30" width="9.140625" style="2" hidden="1" customWidth="1"/>
    <col min="31" max="31" width="29.28515625" style="2" hidden="1" customWidth="1"/>
    <col min="32" max="32" width="31.85546875" style="2" hidden="1" customWidth="1"/>
    <col min="33" max="33" width="32.28515625" style="2" hidden="1" customWidth="1"/>
    <col min="34" max="34" width="18.85546875" style="2" hidden="1" customWidth="1"/>
    <col min="35" max="35" width="37.7109375" style="2" hidden="1" customWidth="1"/>
    <col min="36" max="36" width="9.140625" style="2" hidden="1" customWidth="1"/>
    <col min="37" max="37" width="34.7109375" style="2" hidden="1" customWidth="1"/>
    <col min="38" max="38" width="25.140625" style="2" hidden="1" customWidth="1"/>
    <col min="39" max="39" width="23.85546875" style="2" hidden="1" customWidth="1"/>
    <col min="40" max="40" width="35" style="2" hidden="1" customWidth="1"/>
    <col min="41" max="41" width="20.42578125" style="2" hidden="1" customWidth="1"/>
    <col min="42" max="42" width="9.140625" style="2" hidden="1" customWidth="1"/>
    <col min="43" max="43" width="20.85546875" style="2" hidden="1" customWidth="1"/>
    <col min="44" max="44" width="9.140625" style="2" hidden="1" customWidth="1"/>
    <col min="45" max="45" width="14.140625" style="2" hidden="1" customWidth="1"/>
    <col min="46" max="46" width="19.5703125" style="2" hidden="1" customWidth="1"/>
    <col min="47" max="48" width="9.140625" style="2" hidden="1" customWidth="1"/>
    <col min="49" max="49" width="12.5703125" style="2" hidden="1" customWidth="1"/>
    <col min="50" max="50" width="12.140625" style="2" hidden="1" customWidth="1"/>
    <col min="51" max="51" width="19.5703125" style="2" hidden="1" customWidth="1"/>
    <col min="52" max="52" width="12" style="2" hidden="1" customWidth="1"/>
    <col min="53" max="53" width="9.140625" style="2" hidden="1" customWidth="1"/>
    <col min="54" max="54" width="13" style="2" hidden="1" customWidth="1"/>
    <col min="55" max="68" width="9.140625" style="2" hidden="1" customWidth="1"/>
    <col min="69" max="81" width="0" style="2" hidden="1" customWidth="1"/>
    <col min="82" max="16384" width="9.140625" style="2"/>
  </cols>
  <sheetData>
    <row r="1" spans="3:67">
      <c r="V1" s="390" t="s">
        <v>144</v>
      </c>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row>
    <row r="2" spans="3:67" ht="27">
      <c r="C2" s="53" t="str">
        <f>"Alternativ 5: "&amp;D4</f>
        <v xml:space="preserve">Alternativ 5: </v>
      </c>
      <c r="D2" s="1"/>
    </row>
    <row r="3" spans="3:67" ht="15.75" customHeight="1"/>
    <row r="4" spans="3:67" ht="15.75" customHeight="1">
      <c r="C4" s="20" t="s">
        <v>145</v>
      </c>
      <c r="D4" s="130"/>
      <c r="E4" s="19"/>
      <c r="F4" s="19"/>
      <c r="G4" s="19"/>
      <c r="H4" s="19"/>
      <c r="I4" s="19"/>
      <c r="J4" s="19"/>
      <c r="K4" s="19"/>
      <c r="L4" s="19"/>
      <c r="M4" s="19"/>
      <c r="N4" s="19"/>
      <c r="O4" s="19"/>
      <c r="AB4" s="151" t="s">
        <v>55</v>
      </c>
      <c r="AC4" s="151" t="s">
        <v>56</v>
      </c>
    </row>
    <row r="5" spans="3:67" ht="15.75" customHeight="1">
      <c r="C5" s="19"/>
      <c r="D5" s="19"/>
      <c r="E5" s="19"/>
      <c r="F5" s="19"/>
      <c r="G5" s="19"/>
      <c r="H5" s="19"/>
      <c r="I5" s="19"/>
      <c r="J5" s="19"/>
      <c r="K5" s="19"/>
      <c r="L5" s="19"/>
      <c r="M5" s="19"/>
      <c r="N5" s="19"/>
      <c r="O5" s="19"/>
      <c r="AA5" s="20" t="s">
        <v>57</v>
      </c>
      <c r="AB5" s="9">
        <f>SUM(E19:E22)</f>
        <v>0</v>
      </c>
      <c r="AC5" s="9">
        <f>SUM(F19:F22)</f>
        <v>0</v>
      </c>
    </row>
    <row r="6" spans="3:67" ht="15.75" customHeight="1">
      <c r="C6" s="19"/>
      <c r="D6" s="19"/>
      <c r="E6" s="19"/>
      <c r="F6" s="19"/>
      <c r="G6" s="19"/>
      <c r="H6" s="19"/>
      <c r="I6" s="19"/>
      <c r="J6" s="19"/>
      <c r="K6" s="19"/>
      <c r="L6" s="19"/>
      <c r="M6" s="19"/>
      <c r="N6" s="19"/>
      <c r="O6" s="19"/>
      <c r="AA6" s="20" t="s">
        <v>58</v>
      </c>
      <c r="AB6" s="9">
        <f>SUM(G19:G22)</f>
        <v>0</v>
      </c>
      <c r="AC6" s="9">
        <f>SUM(H19:H22)</f>
        <v>0</v>
      </c>
    </row>
    <row r="7" spans="3:67" ht="15.75" customHeight="1">
      <c r="C7" s="382" t="s">
        <v>146</v>
      </c>
      <c r="D7" s="382"/>
      <c r="E7" s="382"/>
      <c r="F7" s="382"/>
      <c r="G7" s="382"/>
      <c r="H7" s="382"/>
      <c r="I7" s="382"/>
      <c r="J7" s="382"/>
      <c r="K7" s="382"/>
      <c r="L7" s="382"/>
      <c r="M7" s="382"/>
      <c r="N7" s="382"/>
      <c r="O7" s="382"/>
      <c r="AA7" s="20" t="s">
        <v>59</v>
      </c>
      <c r="AB7" s="9">
        <f>SUM(I19:I22)</f>
        <v>0</v>
      </c>
      <c r="AC7" s="9">
        <f>SUM(J19:J22)</f>
        <v>0</v>
      </c>
    </row>
    <row r="8" spans="3:67" ht="30" customHeight="1">
      <c r="C8" s="152" t="s">
        <v>147</v>
      </c>
      <c r="D8" s="385"/>
      <c r="E8" s="386"/>
      <c r="F8" s="386"/>
      <c r="G8" s="386"/>
      <c r="H8" s="386"/>
      <c r="I8" s="386"/>
      <c r="J8" s="386"/>
      <c r="K8" s="386"/>
      <c r="L8" s="386"/>
      <c r="M8" s="386"/>
      <c r="N8" s="386"/>
      <c r="O8" s="387"/>
      <c r="Z8" s="2" t="s">
        <v>148</v>
      </c>
      <c r="AA8" s="20" t="s">
        <v>60</v>
      </c>
      <c r="AB8" s="9">
        <f>SUMIF($D$23:$D$24,$Z$8,E23:E24)+SUMIF($D$23:$D$24,$Z$8,G23:G24)</f>
        <v>0</v>
      </c>
      <c r="AC8" s="9">
        <f>SUMIF($D$23:$D$24,$Z$8,F23:F24)+SUMIF($D$23:$D$24,$Z$8,H23:H24)</f>
        <v>0</v>
      </c>
    </row>
    <row r="9" spans="3:67" ht="30" customHeight="1">
      <c r="C9" s="153" t="s">
        <v>149</v>
      </c>
      <c r="D9" s="385"/>
      <c r="E9" s="386"/>
      <c r="F9" s="386"/>
      <c r="G9" s="386"/>
      <c r="H9" s="386"/>
      <c r="I9" s="386"/>
      <c r="J9" s="386"/>
      <c r="K9" s="386"/>
      <c r="L9" s="386"/>
      <c r="M9" s="386"/>
      <c r="N9" s="386"/>
      <c r="O9" s="387"/>
      <c r="Z9" s="2" t="s">
        <v>150</v>
      </c>
      <c r="AA9" s="20" t="s">
        <v>61</v>
      </c>
      <c r="AB9" s="9">
        <f>SUMIF($D$23:$D$24,$Z$9,E23:E24)+SUMIF($D$23:$D$24,$Z$9,G23:G24)</f>
        <v>0</v>
      </c>
      <c r="AC9" s="9">
        <f>SUMIF($D$23:$D$24,$Z$9,F23:F24)+SUMIF($D$23:$D$24,$Z$9,H23:H24)</f>
        <v>0</v>
      </c>
    </row>
    <row r="10" spans="3:67" ht="30" customHeight="1">
      <c r="C10" s="152" t="s">
        <v>151</v>
      </c>
      <c r="D10" s="385"/>
      <c r="E10" s="386"/>
      <c r="F10" s="386"/>
      <c r="G10" s="386"/>
      <c r="H10" s="386"/>
      <c r="I10" s="386"/>
      <c r="J10" s="386"/>
      <c r="K10" s="386"/>
      <c r="L10" s="386"/>
      <c r="M10" s="386"/>
      <c r="N10" s="386"/>
      <c r="O10" s="387"/>
    </row>
    <row r="11" spans="3:67" ht="30" customHeight="1">
      <c r="C11" s="152" t="s">
        <v>152</v>
      </c>
      <c r="D11" s="385"/>
      <c r="E11" s="386"/>
      <c r="F11" s="386"/>
      <c r="G11" s="386"/>
      <c r="H11" s="386"/>
      <c r="I11" s="386"/>
      <c r="J11" s="386"/>
      <c r="K11" s="386"/>
      <c r="L11" s="386"/>
      <c r="M11" s="386"/>
      <c r="N11" s="386"/>
      <c r="O11" s="387"/>
    </row>
    <row r="12" spans="3:67" ht="15.75" customHeight="1">
      <c r="C12" s="19"/>
      <c r="D12" s="19"/>
      <c r="E12" s="19"/>
      <c r="F12" s="19"/>
      <c r="G12" s="19"/>
      <c r="H12" s="19"/>
      <c r="I12" s="19"/>
      <c r="J12" s="19"/>
      <c r="K12" s="19"/>
      <c r="L12" s="19"/>
      <c r="M12" s="19"/>
      <c r="N12" s="19"/>
      <c r="O12" s="19"/>
    </row>
    <row r="13" spans="3:67" ht="15.75" customHeight="1">
      <c r="C13" s="19"/>
      <c r="D13" s="19"/>
      <c r="E13" s="19"/>
      <c r="F13" s="19"/>
      <c r="G13" s="19"/>
      <c r="H13" s="19"/>
      <c r="I13" s="19"/>
      <c r="J13" s="19"/>
      <c r="K13" s="19"/>
      <c r="L13" s="19"/>
      <c r="M13" s="19"/>
      <c r="N13" s="19"/>
      <c r="O13" s="19"/>
    </row>
    <row r="14" spans="3:67" ht="15.75" customHeight="1">
      <c r="C14" s="154" t="s">
        <v>153</v>
      </c>
      <c r="D14" s="155"/>
      <c r="E14" s="19"/>
      <c r="F14" s="19"/>
      <c r="G14" s="19"/>
      <c r="H14" s="19"/>
      <c r="I14" s="19"/>
      <c r="J14" s="19"/>
      <c r="K14" s="19"/>
      <c r="L14" s="19"/>
      <c r="M14" s="19"/>
      <c r="N14" s="19"/>
      <c r="O14" s="19"/>
    </row>
    <row r="15" spans="3:67" ht="15.75" customHeight="1" thickBot="1">
      <c r="C15" s="156" t="s">
        <v>154</v>
      </c>
      <c r="D15" s="157"/>
      <c r="E15" s="19"/>
      <c r="F15" s="19"/>
      <c r="G15" s="19"/>
      <c r="H15" s="19"/>
      <c r="I15" s="19"/>
      <c r="J15" s="19"/>
      <c r="K15" s="19"/>
      <c r="L15" s="19"/>
      <c r="M15" s="19"/>
      <c r="N15" s="19"/>
      <c r="O15" s="19"/>
      <c r="BD15" s="310" t="s">
        <v>156</v>
      </c>
      <c r="BE15" s="310"/>
      <c r="BF15" s="310"/>
      <c r="BG15" s="310"/>
      <c r="BH15" s="310"/>
      <c r="BI15" s="310"/>
      <c r="BJ15" s="310"/>
      <c r="BK15" s="310"/>
      <c r="BL15" s="310"/>
      <c r="BM15" s="310"/>
      <c r="BN15" s="310"/>
      <c r="BO15" s="310"/>
    </row>
    <row r="16" spans="3:67" ht="15" thickBot="1">
      <c r="C16" s="19"/>
      <c r="D16" s="19"/>
      <c r="E16" s="19"/>
      <c r="F16" s="19"/>
      <c r="G16" s="19"/>
      <c r="H16" s="19"/>
      <c r="I16" s="19"/>
      <c r="J16" s="19"/>
      <c r="K16" s="19"/>
      <c r="L16" s="19"/>
      <c r="M16" s="19"/>
      <c r="N16" s="19"/>
      <c r="O16" s="19"/>
      <c r="AE16" s="158" t="s">
        <v>157</v>
      </c>
      <c r="AF16" s="159"/>
      <c r="AG16" s="159"/>
      <c r="AH16" s="159"/>
      <c r="AI16" s="159"/>
      <c r="AJ16" s="159"/>
      <c r="AK16" s="160"/>
      <c r="AN16" s="403" t="s">
        <v>158</v>
      </c>
      <c r="AO16" s="404"/>
      <c r="AP16" s="404"/>
      <c r="AQ16" s="404"/>
      <c r="AR16" s="404"/>
      <c r="AS16" s="404"/>
      <c r="AT16" s="404"/>
      <c r="AU16" s="404"/>
      <c r="AV16" s="404"/>
      <c r="AW16" s="404"/>
      <c r="AX16" s="404"/>
      <c r="AY16" s="404"/>
      <c r="AZ16" s="404"/>
      <c r="BA16" s="404"/>
      <c r="BB16" s="405"/>
      <c r="BD16" s="158" t="s">
        <v>157</v>
      </c>
      <c r="BE16" s="159"/>
      <c r="BF16" s="159"/>
      <c r="BG16" s="159"/>
      <c r="BH16" s="159"/>
      <c r="BI16" s="159"/>
      <c r="BJ16" s="160"/>
      <c r="BK16" s="161"/>
      <c r="BM16" s="162" t="s">
        <v>158</v>
      </c>
      <c r="BN16" s="163"/>
      <c r="BO16" s="163"/>
    </row>
    <row r="17" spans="3:67" ht="30" customHeight="1">
      <c r="C17" s="164" t="s">
        <v>159</v>
      </c>
      <c r="D17" s="165" t="s">
        <v>160</v>
      </c>
      <c r="E17" s="371" t="s">
        <v>161</v>
      </c>
      <c r="F17" s="372"/>
      <c r="G17" s="373" t="s">
        <v>162</v>
      </c>
      <c r="H17" s="374"/>
      <c r="I17" s="375" t="s">
        <v>163</v>
      </c>
      <c r="J17" s="376"/>
      <c r="K17" s="383" t="s">
        <v>164</v>
      </c>
      <c r="L17" s="377" t="s">
        <v>165</v>
      </c>
      <c r="M17" s="377"/>
      <c r="N17" s="377"/>
      <c r="O17" s="166" t="s">
        <v>93</v>
      </c>
      <c r="V17" s="158" t="s">
        <v>165</v>
      </c>
      <c r="W17" s="159"/>
      <c r="X17" s="160"/>
      <c r="AG17" s="378" t="s">
        <v>166</v>
      </c>
      <c r="AH17" s="378"/>
      <c r="AI17" s="378"/>
      <c r="AJ17" s="378"/>
      <c r="AK17" s="378"/>
      <c r="AN17" s="379" t="s">
        <v>167</v>
      </c>
      <c r="AO17" s="380"/>
      <c r="AP17" s="380"/>
      <c r="AQ17" s="380"/>
      <c r="AR17" s="381"/>
      <c r="AS17" s="397" t="s">
        <v>168</v>
      </c>
      <c r="AT17" s="398"/>
      <c r="AU17" s="398"/>
      <c r="AV17" s="398"/>
      <c r="AW17" s="399"/>
      <c r="AX17" s="400" t="s">
        <v>163</v>
      </c>
      <c r="AY17" s="401"/>
      <c r="AZ17" s="401"/>
      <c r="BA17" s="401"/>
      <c r="BB17" s="402"/>
      <c r="BF17" s="389" t="s">
        <v>166</v>
      </c>
      <c r="BG17" s="389"/>
      <c r="BH17" s="389"/>
      <c r="BI17" s="389"/>
      <c r="BJ17" s="389"/>
      <c r="BK17" s="17"/>
      <c r="BM17" s="2" t="s">
        <v>167</v>
      </c>
      <c r="BN17" s="2" t="s">
        <v>169</v>
      </c>
      <c r="BO17" s="2" t="s">
        <v>170</v>
      </c>
    </row>
    <row r="18" spans="3:67" ht="15" customHeight="1" thickBot="1">
      <c r="C18" s="167"/>
      <c r="D18" s="168"/>
      <c r="E18" s="169" t="s">
        <v>55</v>
      </c>
      <c r="F18" s="51" t="s">
        <v>56</v>
      </c>
      <c r="G18" s="51" t="s">
        <v>55</v>
      </c>
      <c r="H18" s="51" t="s">
        <v>56</v>
      </c>
      <c r="I18" s="51" t="s">
        <v>55</v>
      </c>
      <c r="J18" s="51" t="s">
        <v>56</v>
      </c>
      <c r="K18" s="384"/>
      <c r="L18" s="168" t="s">
        <v>4</v>
      </c>
      <c r="M18" s="168" t="s">
        <v>171</v>
      </c>
      <c r="N18" s="170" t="s">
        <v>172</v>
      </c>
      <c r="O18" s="171"/>
      <c r="V18" s="9" t="s">
        <v>173</v>
      </c>
      <c r="W18" s="9"/>
      <c r="X18" s="9" t="s">
        <v>174</v>
      </c>
      <c r="AG18" s="65" t="s">
        <v>176</v>
      </c>
      <c r="AH18" s="65" t="s">
        <v>177</v>
      </c>
      <c r="AI18" s="65" t="s">
        <v>178</v>
      </c>
      <c r="AJ18" s="65" t="s">
        <v>179</v>
      </c>
      <c r="AK18" s="65" t="s">
        <v>180</v>
      </c>
      <c r="AN18" s="172" t="s">
        <v>176</v>
      </c>
      <c r="AO18" s="173" t="s">
        <v>177</v>
      </c>
      <c r="AP18" s="173" t="s">
        <v>178</v>
      </c>
      <c r="AQ18" s="173" t="s">
        <v>179</v>
      </c>
      <c r="AR18" s="174" t="s">
        <v>180</v>
      </c>
      <c r="AS18" s="172" t="s">
        <v>176</v>
      </c>
      <c r="AT18" s="173" t="s">
        <v>177</v>
      </c>
      <c r="AU18" s="173" t="s">
        <v>178</v>
      </c>
      <c r="AV18" s="173" t="s">
        <v>179</v>
      </c>
      <c r="AW18" s="174" t="s">
        <v>180</v>
      </c>
      <c r="AX18" s="175" t="s">
        <v>176</v>
      </c>
      <c r="AY18" s="173" t="s">
        <v>177</v>
      </c>
      <c r="AZ18" s="173" t="s">
        <v>178</v>
      </c>
      <c r="BA18" s="173" t="s">
        <v>179</v>
      </c>
      <c r="BB18" s="174" t="s">
        <v>180</v>
      </c>
      <c r="BF18" s="65" t="s">
        <v>176</v>
      </c>
      <c r="BG18" s="65" t="s">
        <v>177</v>
      </c>
      <c r="BH18" s="65" t="s">
        <v>178</v>
      </c>
      <c r="BI18" s="65" t="s">
        <v>179</v>
      </c>
      <c r="BJ18" s="65" t="s">
        <v>180</v>
      </c>
      <c r="BK18" s="176"/>
      <c r="BM18" s="2" t="s">
        <v>181</v>
      </c>
      <c r="BN18" s="2" t="s">
        <v>181</v>
      </c>
      <c r="BO18" s="2" t="s">
        <v>181</v>
      </c>
    </row>
    <row r="19" spans="3:67">
      <c r="C19" s="177" t="s">
        <v>182</v>
      </c>
      <c r="D19" s="141" t="s">
        <v>188</v>
      </c>
      <c r="E19" s="138"/>
      <c r="F19" s="138"/>
      <c r="G19" s="138"/>
      <c r="H19" s="138"/>
      <c r="I19" s="138"/>
      <c r="J19" s="138"/>
      <c r="K19" s="138"/>
      <c r="L19" s="20" t="str">
        <f t="shared" ref="L19:L24" si="0">IF(VLOOKUP(D19,$AK$133:$AO$151,AN$131,FALSE)=0,"",VLOOKUP(D19,$AK$133:$AO$151,AN$131,FALSE))</f>
        <v/>
      </c>
      <c r="M19" s="138"/>
      <c r="N19" s="178" t="str">
        <f t="shared" ref="N19:N24" si="1">IF(VLOOKUP(D19,$AK$133:$AO$151,AO$131,FALSE)=0,"",VLOOKUP(D19,$AK$133:$AO$151,AO$131,FALSE))</f>
        <v/>
      </c>
      <c r="O19" s="139"/>
      <c r="V19" s="9">
        <f t="shared" ref="V19:V27" si="2">IF(OR(D19=$AK$143,D19=$AK$144),1,0)</f>
        <v>0</v>
      </c>
      <c r="W19" s="9">
        <f t="shared" ref="W19:W27" si="3">IF(D19=$AK$133,0,1)</f>
        <v>0</v>
      </c>
      <c r="X19" s="9">
        <f t="shared" ref="X19:X27" si="4">IF(AND(N19&lt;&gt;"",N19&lt;&gt;$AS$137),1,0)</f>
        <v>0</v>
      </c>
      <c r="AE19" s="9" t="str">
        <f t="shared" ref="AE19:AE24" si="5">VLOOKUP(D19,$AK$133:$AX$151,$AW$131,FALSE)</f>
        <v>tom</v>
      </c>
      <c r="AF19" s="9" t="str">
        <f t="shared" ref="AF19:AF24" si="6">IF(OR(D19=$AK$143,D19=$AK$144),AE19&amp;", "&amp;K19,AE19)</f>
        <v>tom</v>
      </c>
      <c r="AG19" s="66">
        <f>VLOOKUP($AF19,Utslippsdata!$B$20:$H$46,Utslippsdata!C$16,FALSE)</f>
        <v>0</v>
      </c>
      <c r="AH19" s="66">
        <f>VLOOKUP($AF19,Utslippsdata!$B$20:$H$46,Utslippsdata!D$16,FALSE)</f>
        <v>0</v>
      </c>
      <c r="AI19" s="66">
        <f>VLOOKUP($AF19,Utslippsdata!$B$20:$H$46,Utslippsdata!E$16,FALSE)</f>
        <v>0</v>
      </c>
      <c r="AJ19" s="66">
        <f>VLOOKUP($AF19,Utslippsdata!$B$20:$H$46,Utslippsdata!F$16,FALSE)</f>
        <v>0</v>
      </c>
      <c r="AK19" s="66">
        <f>VLOOKUP($AF19,Utslippsdata!$B$20:$H$46,Utslippsdata!G$16,FALSE)</f>
        <v>0</v>
      </c>
      <c r="AM19" s="179" t="str">
        <f t="shared" ref="AM19:AM24" si="7">AE19</f>
        <v>tom</v>
      </c>
      <c r="AN19" s="180">
        <f t="shared" ref="AN19:AR24" si="8">$F19*AG19</f>
        <v>0</v>
      </c>
      <c r="AO19" s="180">
        <f t="shared" si="8"/>
        <v>0</v>
      </c>
      <c r="AP19" s="180">
        <f t="shared" si="8"/>
        <v>0</v>
      </c>
      <c r="AQ19" s="180">
        <f t="shared" si="8"/>
        <v>0</v>
      </c>
      <c r="AR19" s="181">
        <f t="shared" si="8"/>
        <v>0</v>
      </c>
      <c r="AS19" s="182">
        <f t="shared" ref="AS19:AW24" si="9">$H19*AG19</f>
        <v>0</v>
      </c>
      <c r="AT19" s="183">
        <f t="shared" si="9"/>
        <v>0</v>
      </c>
      <c r="AU19" s="183">
        <f t="shared" si="9"/>
        <v>0</v>
      </c>
      <c r="AV19" s="183">
        <f t="shared" si="9"/>
        <v>0</v>
      </c>
      <c r="AW19" s="184">
        <f t="shared" si="9"/>
        <v>0</v>
      </c>
      <c r="AX19" s="180">
        <f t="shared" ref="AX19:BB24" si="10">$J19*AG19</f>
        <v>0</v>
      </c>
      <c r="AY19" s="180">
        <f t="shared" si="10"/>
        <v>0</v>
      </c>
      <c r="AZ19" s="180">
        <f t="shared" si="10"/>
        <v>0</v>
      </c>
      <c r="BA19" s="180">
        <f t="shared" si="10"/>
        <v>0</v>
      </c>
      <c r="BB19" s="180">
        <f t="shared" si="10"/>
        <v>0</v>
      </c>
      <c r="BD19" s="9" t="str">
        <f>VLOOKUP(D19,$AK$133:$AX$151,$AW$131,FALSE)</f>
        <v>tom</v>
      </c>
      <c r="BE19" s="9" t="str">
        <f t="shared" ref="BE19:BE24" si="11">IF(OR(AC19=$AK$143,AC19=$AK$144),BD19&amp;", "&amp;AJ19,BD19)</f>
        <v>tom</v>
      </c>
      <c r="BF19" s="66">
        <f>VLOOKUP($AF19,Utslippsdata!$BJ$20:$BP$46,Utslippsdata!C$16,FALSE)</f>
        <v>0</v>
      </c>
      <c r="BG19" s="66">
        <f>VLOOKUP($AF19,Utslippsdata!$BJ$20:$BP$46,Utslippsdata!D$16,FALSE)</f>
        <v>0</v>
      </c>
      <c r="BH19" s="66">
        <f>VLOOKUP($AF19,Utslippsdata!$BJ$20:$BP$46,Utslippsdata!E$16,FALSE)</f>
        <v>0</v>
      </c>
      <c r="BI19" s="66">
        <f>VLOOKUP($AF19,Utslippsdata!$BJ$20:$BP$46,Utslippsdata!F$16,FALSE)</f>
        <v>0</v>
      </c>
      <c r="BJ19" s="66">
        <f>VLOOKUP($AF19,Utslippsdata!$BJ$20:$BP$46,Utslippsdata!G$16,FALSE)</f>
        <v>0</v>
      </c>
      <c r="BK19" s="133"/>
      <c r="BL19" s="2" t="str">
        <f>AM19</f>
        <v>tom</v>
      </c>
      <c r="BM19" s="2">
        <f>$F19*(BF19+BG19+BI19)</f>
        <v>0</v>
      </c>
      <c r="BN19" s="2">
        <f>$H19*(BF19+BG19+BI19)</f>
        <v>0</v>
      </c>
      <c r="BO19" s="2">
        <f>BN19+BM19</f>
        <v>0</v>
      </c>
    </row>
    <row r="20" spans="3:67">
      <c r="C20" s="20" t="s">
        <v>184</v>
      </c>
      <c r="D20" s="130" t="s">
        <v>188</v>
      </c>
      <c r="E20" s="138"/>
      <c r="F20" s="138"/>
      <c r="G20" s="138"/>
      <c r="H20" s="138"/>
      <c r="I20" s="138"/>
      <c r="J20" s="138"/>
      <c r="K20" s="138"/>
      <c r="L20" s="20" t="str">
        <f t="shared" si="0"/>
        <v/>
      </c>
      <c r="M20" s="138"/>
      <c r="N20" s="178" t="str">
        <f t="shared" si="1"/>
        <v/>
      </c>
      <c r="O20" s="139"/>
      <c r="V20" s="9">
        <f t="shared" si="2"/>
        <v>0</v>
      </c>
      <c r="W20" s="9">
        <f t="shared" si="3"/>
        <v>0</v>
      </c>
      <c r="X20" s="9">
        <f t="shared" si="4"/>
        <v>0</v>
      </c>
      <c r="AE20" s="9" t="str">
        <f t="shared" si="5"/>
        <v>tom</v>
      </c>
      <c r="AF20" s="9" t="str">
        <f t="shared" si="6"/>
        <v>tom</v>
      </c>
      <c r="AG20" s="66">
        <f>VLOOKUP($AF20,Utslippsdata!$B$20:$H$46,Utslippsdata!C$16,FALSE)</f>
        <v>0</v>
      </c>
      <c r="AH20" s="66">
        <f>VLOOKUP($AF20,Utslippsdata!$B$20:$H$46,Utslippsdata!D$16,FALSE)</f>
        <v>0</v>
      </c>
      <c r="AI20" s="66">
        <f>VLOOKUP($AF20,Utslippsdata!$B$20:$H$46,Utslippsdata!E$16,FALSE)</f>
        <v>0</v>
      </c>
      <c r="AJ20" s="66">
        <f>VLOOKUP($AF20,Utslippsdata!$B$20:$H$46,Utslippsdata!F$16,FALSE)</f>
        <v>0</v>
      </c>
      <c r="AK20" s="66">
        <f>VLOOKUP($AF20,Utslippsdata!$B$20:$H$46,Utslippsdata!G$16,FALSE)</f>
        <v>0</v>
      </c>
      <c r="AM20" s="185" t="str">
        <f t="shared" si="7"/>
        <v>tom</v>
      </c>
      <c r="AN20" s="180">
        <f t="shared" si="8"/>
        <v>0</v>
      </c>
      <c r="AO20" s="180">
        <f t="shared" si="8"/>
        <v>0</v>
      </c>
      <c r="AP20" s="180">
        <f t="shared" si="8"/>
        <v>0</v>
      </c>
      <c r="AQ20" s="180">
        <f t="shared" si="8"/>
        <v>0</v>
      </c>
      <c r="AR20" s="181">
        <f t="shared" si="8"/>
        <v>0</v>
      </c>
      <c r="AS20" s="186">
        <f t="shared" si="9"/>
        <v>0</v>
      </c>
      <c r="AT20" s="180">
        <f t="shared" si="9"/>
        <v>0</v>
      </c>
      <c r="AU20" s="180">
        <f t="shared" si="9"/>
        <v>0</v>
      </c>
      <c r="AV20" s="180">
        <f t="shared" si="9"/>
        <v>0</v>
      </c>
      <c r="AW20" s="187">
        <f t="shared" si="9"/>
        <v>0</v>
      </c>
      <c r="AX20" s="180">
        <f t="shared" si="10"/>
        <v>0</v>
      </c>
      <c r="AY20" s="180">
        <f t="shared" si="10"/>
        <v>0</v>
      </c>
      <c r="AZ20" s="180">
        <f t="shared" si="10"/>
        <v>0</v>
      </c>
      <c r="BA20" s="180">
        <f t="shared" si="10"/>
        <v>0</v>
      </c>
      <c r="BB20" s="180">
        <f t="shared" si="10"/>
        <v>0</v>
      </c>
      <c r="BD20" s="9" t="str">
        <f t="shared" ref="BD20:BD24" si="12">VLOOKUP(D20,$AK$133:$AX$151,$AW$131,FALSE)</f>
        <v>tom</v>
      </c>
      <c r="BE20" s="9" t="str">
        <f t="shared" si="11"/>
        <v>tom</v>
      </c>
      <c r="BF20" s="66">
        <f>VLOOKUP($AF20,Utslippsdata!$BJ$20:$BP$46,Utslippsdata!C$16,FALSE)</f>
        <v>0</v>
      </c>
      <c r="BG20" s="66">
        <f>VLOOKUP($AF20,Utslippsdata!$BJ$20:$BP$46,Utslippsdata!D$16,FALSE)</f>
        <v>0</v>
      </c>
      <c r="BH20" s="66">
        <f>VLOOKUP($AF20,Utslippsdata!$BJ$20:$BP$46,Utslippsdata!E$16,FALSE)</f>
        <v>0</v>
      </c>
      <c r="BI20" s="66">
        <f>VLOOKUP($AF20,Utslippsdata!$BJ$20:$BP$46,Utslippsdata!F$16,FALSE)</f>
        <v>0</v>
      </c>
      <c r="BJ20" s="66">
        <f>VLOOKUP($AF20,Utslippsdata!$BJ$20:$BP$46,Utslippsdata!G$16,FALSE)</f>
        <v>0</v>
      </c>
      <c r="BK20" s="133"/>
      <c r="BL20" s="2" t="str">
        <f t="shared" ref="BL20:BL24" si="13">AM20</f>
        <v>tom</v>
      </c>
      <c r="BM20" s="2">
        <f>$F20*(BF20+BG20+BI20)</f>
        <v>0</v>
      </c>
      <c r="BN20" s="2">
        <f>$H20*(BF20+BG20+BI20)</f>
        <v>0</v>
      </c>
      <c r="BO20" s="2">
        <f>BN20+BM20</f>
        <v>0</v>
      </c>
    </row>
    <row r="21" spans="3:67">
      <c r="C21" s="20" t="s">
        <v>186</v>
      </c>
      <c r="D21" s="130" t="s">
        <v>188</v>
      </c>
      <c r="E21" s="138"/>
      <c r="F21" s="138"/>
      <c r="G21" s="138"/>
      <c r="H21" s="138"/>
      <c r="I21" s="138"/>
      <c r="J21" s="138"/>
      <c r="K21" s="138"/>
      <c r="L21" s="20" t="str">
        <f t="shared" si="0"/>
        <v/>
      </c>
      <c r="M21" s="138"/>
      <c r="N21" s="178" t="str">
        <f t="shared" si="1"/>
        <v/>
      </c>
      <c r="O21" s="139"/>
      <c r="V21" s="9">
        <f t="shared" si="2"/>
        <v>0</v>
      </c>
      <c r="W21" s="9">
        <f t="shared" si="3"/>
        <v>0</v>
      </c>
      <c r="X21" s="9">
        <f t="shared" si="4"/>
        <v>0</v>
      </c>
      <c r="AE21" s="9" t="str">
        <f t="shared" si="5"/>
        <v>tom</v>
      </c>
      <c r="AF21" s="9" t="str">
        <f t="shared" si="6"/>
        <v>tom</v>
      </c>
      <c r="AG21" s="66">
        <f>VLOOKUP($AF21,Utslippsdata!$B$20:$H$46,Utslippsdata!C$16,FALSE)</f>
        <v>0</v>
      </c>
      <c r="AH21" s="66">
        <f>VLOOKUP($AF21,Utslippsdata!$B$20:$H$46,Utslippsdata!D$16,FALSE)</f>
        <v>0</v>
      </c>
      <c r="AI21" s="66">
        <f>VLOOKUP($AF21,Utslippsdata!$B$20:$H$46,Utslippsdata!E$16,FALSE)</f>
        <v>0</v>
      </c>
      <c r="AJ21" s="66">
        <f>VLOOKUP($AF21,Utslippsdata!$B$20:$H$46,Utslippsdata!F$16,FALSE)</f>
        <v>0</v>
      </c>
      <c r="AK21" s="66">
        <f>VLOOKUP($AF21,Utslippsdata!$B$20:$H$46,Utslippsdata!G$16,FALSE)</f>
        <v>0</v>
      </c>
      <c r="AM21" s="185" t="str">
        <f t="shared" si="7"/>
        <v>tom</v>
      </c>
      <c r="AN21" s="180">
        <f t="shared" si="8"/>
        <v>0</v>
      </c>
      <c r="AO21" s="180">
        <f t="shared" si="8"/>
        <v>0</v>
      </c>
      <c r="AP21" s="180">
        <f t="shared" si="8"/>
        <v>0</v>
      </c>
      <c r="AQ21" s="180">
        <f t="shared" si="8"/>
        <v>0</v>
      </c>
      <c r="AR21" s="181">
        <f t="shared" si="8"/>
        <v>0</v>
      </c>
      <c r="AS21" s="186">
        <f t="shared" si="9"/>
        <v>0</v>
      </c>
      <c r="AT21" s="180">
        <f t="shared" si="9"/>
        <v>0</v>
      </c>
      <c r="AU21" s="180">
        <f t="shared" si="9"/>
        <v>0</v>
      </c>
      <c r="AV21" s="180">
        <f t="shared" si="9"/>
        <v>0</v>
      </c>
      <c r="AW21" s="187">
        <f t="shared" si="9"/>
        <v>0</v>
      </c>
      <c r="AX21" s="180">
        <f t="shared" si="10"/>
        <v>0</v>
      </c>
      <c r="AY21" s="180">
        <f t="shared" si="10"/>
        <v>0</v>
      </c>
      <c r="AZ21" s="180">
        <f t="shared" si="10"/>
        <v>0</v>
      </c>
      <c r="BA21" s="180">
        <f t="shared" si="10"/>
        <v>0</v>
      </c>
      <c r="BB21" s="180">
        <f t="shared" si="10"/>
        <v>0</v>
      </c>
      <c r="BD21" s="9" t="str">
        <f t="shared" si="12"/>
        <v>tom</v>
      </c>
      <c r="BE21" s="9" t="str">
        <f t="shared" si="11"/>
        <v>tom</v>
      </c>
      <c r="BF21" s="66">
        <f>VLOOKUP($AF21,Utslippsdata!$BJ$20:$BP$46,Utslippsdata!C$16,FALSE)</f>
        <v>0</v>
      </c>
      <c r="BG21" s="66">
        <f>VLOOKUP($AF21,Utslippsdata!$BJ$20:$BP$46,Utslippsdata!D$16,FALSE)</f>
        <v>0</v>
      </c>
      <c r="BH21" s="66">
        <f>VLOOKUP($AF21,Utslippsdata!$BJ$20:$BP$46,Utslippsdata!E$16,FALSE)</f>
        <v>0</v>
      </c>
      <c r="BI21" s="66">
        <f>VLOOKUP($AF21,Utslippsdata!$BJ$20:$BP$46,Utslippsdata!F$16,FALSE)</f>
        <v>0</v>
      </c>
      <c r="BJ21" s="66">
        <f>VLOOKUP($AF21,Utslippsdata!$BJ$20:$BP$46,Utslippsdata!G$16,FALSE)</f>
        <v>0</v>
      </c>
      <c r="BK21" s="133"/>
      <c r="BL21" s="2" t="str">
        <f t="shared" si="13"/>
        <v>tom</v>
      </c>
      <c r="BM21" s="2">
        <f t="shared" ref="BM21:BM24" si="14">$F21*(BF21+BG21+BI21)</f>
        <v>0</v>
      </c>
      <c r="BN21" s="2">
        <f t="shared" ref="BN21:BN24" si="15">$H21*(BF21+BG21+BI21)</f>
        <v>0</v>
      </c>
      <c r="BO21" s="2">
        <f t="shared" ref="BO21:BO24" si="16">BN21+BM21</f>
        <v>0</v>
      </c>
    </row>
    <row r="22" spans="3:67">
      <c r="C22" s="20" t="s">
        <v>187</v>
      </c>
      <c r="D22" s="130" t="s">
        <v>188</v>
      </c>
      <c r="E22" s="138"/>
      <c r="F22" s="138"/>
      <c r="G22" s="138"/>
      <c r="H22" s="138"/>
      <c r="I22" s="138"/>
      <c r="J22" s="138"/>
      <c r="K22" s="138"/>
      <c r="L22" s="20" t="str">
        <f t="shared" si="0"/>
        <v/>
      </c>
      <c r="M22" s="138"/>
      <c r="N22" s="178" t="str">
        <f t="shared" si="1"/>
        <v/>
      </c>
      <c r="O22" s="139"/>
      <c r="V22" s="9">
        <f t="shared" si="2"/>
        <v>0</v>
      </c>
      <c r="W22" s="9">
        <f t="shared" si="3"/>
        <v>0</v>
      </c>
      <c r="X22" s="9">
        <f t="shared" si="4"/>
        <v>0</v>
      </c>
      <c r="AE22" s="9" t="str">
        <f t="shared" si="5"/>
        <v>tom</v>
      </c>
      <c r="AF22" s="9" t="str">
        <f t="shared" si="6"/>
        <v>tom</v>
      </c>
      <c r="AG22" s="66">
        <f>VLOOKUP($AF22,Utslippsdata!$B$20:$H$46,Utslippsdata!C$16,FALSE)</f>
        <v>0</v>
      </c>
      <c r="AH22" s="66">
        <f>VLOOKUP($AF22,Utslippsdata!$B$20:$H$46,Utslippsdata!D$16,FALSE)</f>
        <v>0</v>
      </c>
      <c r="AI22" s="66">
        <f>VLOOKUP($AF22,Utslippsdata!$B$20:$H$46,Utslippsdata!E$16,FALSE)</f>
        <v>0</v>
      </c>
      <c r="AJ22" s="66">
        <f>VLOOKUP($AF22,Utslippsdata!$B$20:$H$46,Utslippsdata!F$16,FALSE)</f>
        <v>0</v>
      </c>
      <c r="AK22" s="66">
        <f>VLOOKUP($AF22,Utslippsdata!$B$20:$H$46,Utslippsdata!G$16,FALSE)</f>
        <v>0</v>
      </c>
      <c r="AM22" s="185" t="str">
        <f t="shared" si="7"/>
        <v>tom</v>
      </c>
      <c r="AN22" s="180">
        <f t="shared" si="8"/>
        <v>0</v>
      </c>
      <c r="AO22" s="180">
        <f t="shared" si="8"/>
        <v>0</v>
      </c>
      <c r="AP22" s="180">
        <f t="shared" si="8"/>
        <v>0</v>
      </c>
      <c r="AQ22" s="180">
        <f t="shared" si="8"/>
        <v>0</v>
      </c>
      <c r="AR22" s="181">
        <f t="shared" si="8"/>
        <v>0</v>
      </c>
      <c r="AS22" s="186">
        <f t="shared" si="9"/>
        <v>0</v>
      </c>
      <c r="AT22" s="180">
        <f t="shared" si="9"/>
        <v>0</v>
      </c>
      <c r="AU22" s="180">
        <f t="shared" si="9"/>
        <v>0</v>
      </c>
      <c r="AV22" s="180">
        <f t="shared" si="9"/>
        <v>0</v>
      </c>
      <c r="AW22" s="187">
        <f t="shared" si="9"/>
        <v>0</v>
      </c>
      <c r="AX22" s="180">
        <f t="shared" si="10"/>
        <v>0</v>
      </c>
      <c r="AY22" s="180">
        <f t="shared" si="10"/>
        <v>0</v>
      </c>
      <c r="AZ22" s="180">
        <f t="shared" si="10"/>
        <v>0</v>
      </c>
      <c r="BA22" s="180">
        <f t="shared" si="10"/>
        <v>0</v>
      </c>
      <c r="BB22" s="180">
        <f t="shared" si="10"/>
        <v>0</v>
      </c>
      <c r="BD22" s="9" t="str">
        <f t="shared" si="12"/>
        <v>tom</v>
      </c>
      <c r="BE22" s="9" t="str">
        <f t="shared" si="11"/>
        <v>tom</v>
      </c>
      <c r="BF22" s="66">
        <f>VLOOKUP($AF22,Utslippsdata!$BJ$20:$BP$46,Utslippsdata!C$16,FALSE)</f>
        <v>0</v>
      </c>
      <c r="BG22" s="66">
        <f>VLOOKUP($AF22,Utslippsdata!$BJ$20:$BP$46,Utslippsdata!D$16,FALSE)</f>
        <v>0</v>
      </c>
      <c r="BH22" s="66">
        <f>VLOOKUP($AF22,Utslippsdata!$BJ$20:$BP$46,Utslippsdata!E$16,FALSE)</f>
        <v>0</v>
      </c>
      <c r="BI22" s="66">
        <f>VLOOKUP($AF22,Utslippsdata!$BJ$20:$BP$46,Utslippsdata!F$16,FALSE)</f>
        <v>0</v>
      </c>
      <c r="BJ22" s="66">
        <f>VLOOKUP($AF22,Utslippsdata!$BJ$20:$BP$46,Utslippsdata!G$16,FALSE)</f>
        <v>0</v>
      </c>
      <c r="BK22" s="133"/>
      <c r="BL22" s="2" t="str">
        <f t="shared" si="13"/>
        <v>tom</v>
      </c>
      <c r="BM22" s="2">
        <f t="shared" si="14"/>
        <v>0</v>
      </c>
      <c r="BN22" s="2">
        <f t="shared" si="15"/>
        <v>0</v>
      </c>
      <c r="BO22" s="2">
        <f t="shared" si="16"/>
        <v>0</v>
      </c>
    </row>
    <row r="23" spans="3:67">
      <c r="C23" s="20" t="s">
        <v>189</v>
      </c>
      <c r="D23" s="130" t="s">
        <v>188</v>
      </c>
      <c r="E23" s="138"/>
      <c r="F23" s="138"/>
      <c r="G23" s="138"/>
      <c r="H23" s="138"/>
      <c r="I23" s="138"/>
      <c r="J23" s="138"/>
      <c r="K23" s="138"/>
      <c r="L23" s="20" t="str">
        <f t="shared" si="0"/>
        <v/>
      </c>
      <c r="M23" s="138"/>
      <c r="N23" s="178" t="str">
        <f t="shared" si="1"/>
        <v/>
      </c>
      <c r="O23" s="139"/>
      <c r="V23" s="9">
        <f t="shared" si="2"/>
        <v>0</v>
      </c>
      <c r="W23" s="9">
        <f t="shared" si="3"/>
        <v>0</v>
      </c>
      <c r="X23" s="9">
        <f t="shared" si="4"/>
        <v>0</v>
      </c>
      <c r="AE23" s="9" t="str">
        <f t="shared" si="5"/>
        <v>tom</v>
      </c>
      <c r="AF23" s="9" t="str">
        <f t="shared" si="6"/>
        <v>tom</v>
      </c>
      <c r="AG23" s="66">
        <f>VLOOKUP($AF23,Utslippsdata!$B$20:$H$46,Utslippsdata!C$16,FALSE)</f>
        <v>0</v>
      </c>
      <c r="AH23" s="66">
        <f>VLOOKUP($AF23,Utslippsdata!$B$20:$H$46,Utslippsdata!D$16,FALSE)</f>
        <v>0</v>
      </c>
      <c r="AI23" s="66">
        <f>VLOOKUP($AF23,Utslippsdata!$B$20:$H$46,Utslippsdata!E$16,FALSE)</f>
        <v>0</v>
      </c>
      <c r="AJ23" s="66">
        <f>VLOOKUP($AF23,Utslippsdata!$B$20:$H$46,Utslippsdata!F$16,FALSE)</f>
        <v>0</v>
      </c>
      <c r="AK23" s="66">
        <f>VLOOKUP($AF23,Utslippsdata!$B$20:$H$46,Utslippsdata!G$16,FALSE)</f>
        <v>0</v>
      </c>
      <c r="AM23" s="185" t="str">
        <f t="shared" si="7"/>
        <v>tom</v>
      </c>
      <c r="AN23" s="180">
        <f t="shared" si="8"/>
        <v>0</v>
      </c>
      <c r="AO23" s="180">
        <f t="shared" si="8"/>
        <v>0</v>
      </c>
      <c r="AP23" s="180">
        <f t="shared" si="8"/>
        <v>0</v>
      </c>
      <c r="AQ23" s="180">
        <f t="shared" si="8"/>
        <v>0</v>
      </c>
      <c r="AR23" s="181">
        <f t="shared" si="8"/>
        <v>0</v>
      </c>
      <c r="AS23" s="186">
        <f t="shared" si="9"/>
        <v>0</v>
      </c>
      <c r="AT23" s="180">
        <f t="shared" si="9"/>
        <v>0</v>
      </c>
      <c r="AU23" s="180">
        <f t="shared" si="9"/>
        <v>0</v>
      </c>
      <c r="AV23" s="180">
        <f t="shared" si="9"/>
        <v>0</v>
      </c>
      <c r="AW23" s="187">
        <f t="shared" si="9"/>
        <v>0</v>
      </c>
      <c r="AX23" s="180">
        <f t="shared" si="10"/>
        <v>0</v>
      </c>
      <c r="AY23" s="180">
        <f t="shared" si="10"/>
        <v>0</v>
      </c>
      <c r="AZ23" s="180">
        <f t="shared" si="10"/>
        <v>0</v>
      </c>
      <c r="BA23" s="180">
        <f t="shared" si="10"/>
        <v>0</v>
      </c>
      <c r="BB23" s="180">
        <f t="shared" si="10"/>
        <v>0</v>
      </c>
      <c r="BD23" s="9" t="str">
        <f t="shared" si="12"/>
        <v>tom</v>
      </c>
      <c r="BE23" s="9" t="str">
        <f t="shared" si="11"/>
        <v>tom</v>
      </c>
      <c r="BF23" s="66">
        <f>VLOOKUP($AF23,Utslippsdata!$BJ$20:$BP$46,Utslippsdata!C$16,FALSE)</f>
        <v>0</v>
      </c>
      <c r="BG23" s="66">
        <f>VLOOKUP($AF23,Utslippsdata!$BJ$20:$BP$46,Utslippsdata!D$16,FALSE)</f>
        <v>0</v>
      </c>
      <c r="BH23" s="66">
        <f>VLOOKUP($AF23,Utslippsdata!$BJ$20:$BP$46,Utslippsdata!E$16,FALSE)</f>
        <v>0</v>
      </c>
      <c r="BI23" s="66">
        <f>VLOOKUP($AF23,Utslippsdata!$BJ$20:$BP$46,Utslippsdata!F$16,FALSE)</f>
        <v>0</v>
      </c>
      <c r="BJ23" s="66">
        <f>VLOOKUP($AF23,Utslippsdata!$BJ$20:$BP$46,Utslippsdata!G$16,FALSE)</f>
        <v>0</v>
      </c>
      <c r="BK23" s="133"/>
      <c r="BL23" s="2" t="str">
        <f t="shared" si="13"/>
        <v>tom</v>
      </c>
      <c r="BM23" s="2">
        <f t="shared" si="14"/>
        <v>0</v>
      </c>
      <c r="BN23" s="2">
        <f t="shared" si="15"/>
        <v>0</v>
      </c>
      <c r="BO23" s="2">
        <f t="shared" si="16"/>
        <v>0</v>
      </c>
    </row>
    <row r="24" spans="3:67">
      <c r="C24" s="20" t="s">
        <v>190</v>
      </c>
      <c r="D24" s="130" t="s">
        <v>188</v>
      </c>
      <c r="E24" s="138"/>
      <c r="F24" s="138"/>
      <c r="G24" s="138"/>
      <c r="H24" s="138"/>
      <c r="I24" s="138"/>
      <c r="J24" s="138"/>
      <c r="K24" s="138"/>
      <c r="L24" s="20" t="str">
        <f t="shared" si="0"/>
        <v/>
      </c>
      <c r="M24" s="138"/>
      <c r="N24" s="178" t="str">
        <f t="shared" si="1"/>
        <v/>
      </c>
      <c r="O24" s="139"/>
      <c r="V24" s="9">
        <f t="shared" si="2"/>
        <v>0</v>
      </c>
      <c r="W24" s="9">
        <f t="shared" si="3"/>
        <v>0</v>
      </c>
      <c r="X24" s="9">
        <f t="shared" si="4"/>
        <v>0</v>
      </c>
      <c r="AE24" s="9" t="str">
        <f t="shared" si="5"/>
        <v>tom</v>
      </c>
      <c r="AF24" s="9" t="str">
        <f t="shared" si="6"/>
        <v>tom</v>
      </c>
      <c r="AG24" s="66">
        <f>VLOOKUP($AF24,Utslippsdata!$B$20:$H$46,Utslippsdata!C$16,FALSE)</f>
        <v>0</v>
      </c>
      <c r="AH24" s="66">
        <f>VLOOKUP($AF24,Utslippsdata!$B$20:$H$46,Utslippsdata!D$16,FALSE)</f>
        <v>0</v>
      </c>
      <c r="AI24" s="66">
        <f>VLOOKUP($AF24,Utslippsdata!$B$20:$H$46,Utslippsdata!E$16,FALSE)</f>
        <v>0</v>
      </c>
      <c r="AJ24" s="66">
        <f>VLOOKUP($AF24,Utslippsdata!$B$20:$H$46,Utslippsdata!F$16,FALSE)</f>
        <v>0</v>
      </c>
      <c r="AK24" s="66">
        <f>VLOOKUP($AF24,Utslippsdata!$B$20:$H$46,Utslippsdata!G$16,FALSE)</f>
        <v>0</v>
      </c>
      <c r="AM24" s="185" t="str">
        <f t="shared" si="7"/>
        <v>tom</v>
      </c>
      <c r="AN24" s="180">
        <f t="shared" si="8"/>
        <v>0</v>
      </c>
      <c r="AO24" s="180">
        <f t="shared" si="8"/>
        <v>0</v>
      </c>
      <c r="AP24" s="180">
        <f t="shared" si="8"/>
        <v>0</v>
      </c>
      <c r="AQ24" s="180">
        <f t="shared" si="8"/>
        <v>0</v>
      </c>
      <c r="AR24" s="181">
        <f t="shared" si="8"/>
        <v>0</v>
      </c>
      <c r="AS24" s="186">
        <f t="shared" si="9"/>
        <v>0</v>
      </c>
      <c r="AT24" s="180">
        <f t="shared" si="9"/>
        <v>0</v>
      </c>
      <c r="AU24" s="180">
        <f t="shared" si="9"/>
        <v>0</v>
      </c>
      <c r="AV24" s="180">
        <f t="shared" si="9"/>
        <v>0</v>
      </c>
      <c r="AW24" s="187">
        <f t="shared" si="9"/>
        <v>0</v>
      </c>
      <c r="AX24" s="180">
        <f t="shared" si="10"/>
        <v>0</v>
      </c>
      <c r="AY24" s="180">
        <f t="shared" si="10"/>
        <v>0</v>
      </c>
      <c r="AZ24" s="180">
        <f t="shared" si="10"/>
        <v>0</v>
      </c>
      <c r="BA24" s="180">
        <f t="shared" si="10"/>
        <v>0</v>
      </c>
      <c r="BB24" s="180">
        <f t="shared" si="10"/>
        <v>0</v>
      </c>
      <c r="BD24" s="9" t="str">
        <f t="shared" si="12"/>
        <v>tom</v>
      </c>
      <c r="BE24" s="9" t="str">
        <f t="shared" si="11"/>
        <v>tom</v>
      </c>
      <c r="BF24" s="66">
        <f>VLOOKUP($AF24,Utslippsdata!$BJ$20:$BP$46,Utslippsdata!C$16,FALSE)</f>
        <v>0</v>
      </c>
      <c r="BG24" s="66">
        <f>VLOOKUP($AF24,Utslippsdata!$BJ$20:$BP$46,Utslippsdata!D$16,FALSE)</f>
        <v>0</v>
      </c>
      <c r="BH24" s="66">
        <f>VLOOKUP($AF24,Utslippsdata!$BJ$20:$BP$46,Utslippsdata!E$16,FALSE)</f>
        <v>0</v>
      </c>
      <c r="BI24" s="66">
        <f>VLOOKUP($AF24,Utslippsdata!$BJ$20:$BP$46,Utslippsdata!F$16,FALSE)</f>
        <v>0</v>
      </c>
      <c r="BJ24" s="66">
        <f>VLOOKUP($AF24,Utslippsdata!$BJ$20:$BP$46,Utslippsdata!G$16,FALSE)</f>
        <v>0</v>
      </c>
      <c r="BK24" s="133"/>
      <c r="BL24" s="2" t="str">
        <f t="shared" si="13"/>
        <v>tom</v>
      </c>
      <c r="BM24" s="2">
        <f t="shared" si="14"/>
        <v>0</v>
      </c>
      <c r="BN24" s="2">
        <f t="shared" si="15"/>
        <v>0</v>
      </c>
      <c r="BO24" s="2">
        <f t="shared" si="16"/>
        <v>0</v>
      </c>
    </row>
    <row r="25" spans="3:67" ht="15.75" thickBot="1">
      <c r="C25" s="20" t="s">
        <v>191</v>
      </c>
      <c r="D25" s="20" t="s">
        <v>192</v>
      </c>
      <c r="E25" s="368"/>
      <c r="F25" s="368"/>
      <c r="G25" s="326"/>
      <c r="H25" s="327"/>
      <c r="I25" s="369"/>
      <c r="J25" s="370"/>
      <c r="K25" s="188"/>
      <c r="L25" s="189"/>
      <c r="M25" s="189"/>
      <c r="N25" s="190"/>
      <c r="O25" s="139"/>
      <c r="P25" s="6"/>
      <c r="Q25" s="6"/>
      <c r="T25" s="6"/>
      <c r="U25" s="6"/>
      <c r="V25" s="9">
        <f t="shared" si="2"/>
        <v>0</v>
      </c>
      <c r="W25" s="9">
        <f t="shared" si="3"/>
        <v>1</v>
      </c>
      <c r="X25" s="9">
        <f t="shared" si="4"/>
        <v>0</v>
      </c>
      <c r="AM25" s="191" t="s">
        <v>191</v>
      </c>
      <c r="AN25" s="192">
        <f>$E$25*SUM(F19:F24)*(Utslippsdata!C54+Utslippsdata!C55)+$E$26*Utslippsdata!C56</f>
        <v>0</v>
      </c>
      <c r="AO25" s="193">
        <f>$E$25*SUM(F19:F24)*(Utslippsdata!D54+Utslippsdata!D55)+$E$26*Utslippsdata!D56</f>
        <v>0</v>
      </c>
      <c r="AP25" s="193">
        <f>$E$25*SUM(F19:F24)*(Utslippsdata!E54+Utslippsdata!E55)+$E$26*Utslippsdata!E56</f>
        <v>0</v>
      </c>
      <c r="AQ25" s="193">
        <f>$E$25*SUM(F19:F24)*(Utslippsdata!F54+Utslippsdata!F55)+$E$26*Utslippsdata!F56</f>
        <v>0</v>
      </c>
      <c r="AR25" s="194">
        <f>$E$25*SUM(F19:F24)*(Utslippsdata!G54+Utslippsdata!G55)+$E$26*Utslippsdata!G56</f>
        <v>0</v>
      </c>
      <c r="AS25" s="195">
        <f>$G$25*SUM(H19:H24)*(Utslippsdata!C54+Utslippsdata!C55)+$G$26*Utslippsdata!C56</f>
        <v>0</v>
      </c>
      <c r="AT25" s="193">
        <f>$G$25*SUM(H19:H24)*(Utslippsdata!D54+Utslippsdata!D55)+$G$26*Utslippsdata!D56</f>
        <v>0</v>
      </c>
      <c r="AU25" s="193">
        <f>$G$25*SUM(H19:H24)*(Utslippsdata!E54+Utslippsdata!E55)+$G$26*Utslippsdata!E56</f>
        <v>0</v>
      </c>
      <c r="AV25" s="193">
        <f>$G$25*SUM(H19:H24)*(Utslippsdata!F54+Utslippsdata!F55)+$G$26*Utslippsdata!F56</f>
        <v>0</v>
      </c>
      <c r="AW25" s="196">
        <f>$G$25*SUM(H19:H24)*(Utslippsdata!G54+Utslippsdata!G55)+$G$26*Utslippsdata!G56</f>
        <v>0</v>
      </c>
      <c r="AX25" s="197"/>
      <c r="AY25" s="198"/>
      <c r="AZ25" s="198"/>
      <c r="BA25" s="198"/>
      <c r="BB25" s="199"/>
    </row>
    <row r="26" spans="3:67" ht="15" thickBot="1">
      <c r="C26" s="20" t="s">
        <v>193</v>
      </c>
      <c r="D26" s="20" t="s">
        <v>194</v>
      </c>
      <c r="E26" s="368"/>
      <c r="F26" s="368"/>
      <c r="G26" s="326"/>
      <c r="H26" s="327"/>
      <c r="I26" s="200"/>
      <c r="J26" s="201"/>
      <c r="K26" s="202"/>
      <c r="L26" s="19"/>
      <c r="M26" s="19"/>
      <c r="N26" s="203"/>
      <c r="O26" s="139"/>
      <c r="P26" s="6"/>
      <c r="Q26" s="6"/>
      <c r="T26" s="6"/>
      <c r="U26" s="6"/>
      <c r="V26" s="9">
        <f t="shared" si="2"/>
        <v>0</v>
      </c>
      <c r="W26" s="9">
        <f t="shared" si="3"/>
        <v>1</v>
      </c>
      <c r="X26" s="9">
        <f t="shared" si="4"/>
        <v>0</v>
      </c>
      <c r="AM26" s="204" t="s">
        <v>170</v>
      </c>
      <c r="AN26" s="205">
        <f t="shared" ref="AN26:BB26" si="17">SUM(AN19:AN25)</f>
        <v>0</v>
      </c>
      <c r="AO26" s="206">
        <f t="shared" si="17"/>
        <v>0</v>
      </c>
      <c r="AP26" s="206">
        <f t="shared" si="17"/>
        <v>0</v>
      </c>
      <c r="AQ26" s="206">
        <f t="shared" si="17"/>
        <v>0</v>
      </c>
      <c r="AR26" s="207">
        <f t="shared" si="17"/>
        <v>0</v>
      </c>
      <c r="AS26" s="205">
        <f t="shared" si="17"/>
        <v>0</v>
      </c>
      <c r="AT26" s="206">
        <f t="shared" si="17"/>
        <v>0</v>
      </c>
      <c r="AU26" s="206">
        <f t="shared" si="17"/>
        <v>0</v>
      </c>
      <c r="AV26" s="206">
        <f t="shared" si="17"/>
        <v>0</v>
      </c>
      <c r="AW26" s="207">
        <f t="shared" si="17"/>
        <v>0</v>
      </c>
      <c r="AX26" s="205">
        <f t="shared" si="17"/>
        <v>0</v>
      </c>
      <c r="AY26" s="206">
        <f t="shared" si="17"/>
        <v>0</v>
      </c>
      <c r="AZ26" s="206">
        <f t="shared" si="17"/>
        <v>0</v>
      </c>
      <c r="BA26" s="206">
        <f t="shared" si="17"/>
        <v>0</v>
      </c>
      <c r="BB26" s="207">
        <f t="shared" si="17"/>
        <v>0</v>
      </c>
    </row>
    <row r="27" spans="3:67">
      <c r="C27" s="178" t="s">
        <v>195</v>
      </c>
      <c r="D27" s="208"/>
      <c r="E27" s="324"/>
      <c r="F27" s="325"/>
      <c r="G27" s="326"/>
      <c r="H27" s="327"/>
      <c r="I27" s="326"/>
      <c r="J27" s="327"/>
      <c r="K27" s="209"/>
      <c r="L27" s="210"/>
      <c r="M27" s="210"/>
      <c r="N27" s="211"/>
      <c r="O27" s="139"/>
      <c r="V27" s="9">
        <f t="shared" si="2"/>
        <v>0</v>
      </c>
      <c r="W27" s="9">
        <f t="shared" si="3"/>
        <v>1</v>
      </c>
      <c r="X27" s="9">
        <f t="shared" si="4"/>
        <v>0</v>
      </c>
    </row>
    <row r="28" spans="3:67">
      <c r="C28" s="19"/>
      <c r="D28" s="19"/>
      <c r="E28" s="19"/>
      <c r="F28" s="19"/>
      <c r="G28" s="19"/>
      <c r="H28" s="19"/>
      <c r="I28" s="19"/>
      <c r="J28" s="19"/>
      <c r="K28" s="19"/>
      <c r="L28" s="19"/>
      <c r="M28" s="19"/>
      <c r="N28" s="19"/>
      <c r="O28" s="19"/>
      <c r="AM28" s="9" t="s">
        <v>196</v>
      </c>
      <c r="AN28" s="9"/>
      <c r="AO28" s="9"/>
      <c r="AP28" s="9"/>
      <c r="AQ28" s="9"/>
      <c r="AR28" s="9"/>
      <c r="AS28" s="9"/>
      <c r="AT28" s="9"/>
      <c r="AU28" s="9"/>
      <c r="AV28" s="9"/>
      <c r="AW28" s="9"/>
      <c r="AX28" s="9">
        <f ca="1">YEAR(TODAY())</f>
        <v>2025</v>
      </c>
      <c r="AY28" s="10">
        <f>DATE('Generelt om prosjektet'!C26,1,1)</f>
        <v>46023</v>
      </c>
      <c r="AZ28" s="9">
        <f>YEAR(AY28)</f>
        <v>2026</v>
      </c>
      <c r="BA28" s="9"/>
    </row>
    <row r="29" spans="3:67">
      <c r="C29" s="51" t="s">
        <v>197</v>
      </c>
      <c r="D29" s="51"/>
      <c r="E29" s="51" t="s">
        <v>198</v>
      </c>
      <c r="F29" s="51" t="s">
        <v>172</v>
      </c>
      <c r="G29" s="212" t="s">
        <v>93</v>
      </c>
      <c r="H29" s="213"/>
      <c r="I29" s="213"/>
      <c r="J29" s="169"/>
      <c r="K29" s="19"/>
      <c r="L29" s="19"/>
      <c r="M29" s="19"/>
      <c r="N29" s="19"/>
      <c r="O29" s="19"/>
      <c r="U29" s="2" t="s">
        <v>199</v>
      </c>
      <c r="V29" s="9">
        <f>SUM(E19:F22)</f>
        <v>0</v>
      </c>
      <c r="W29" s="9">
        <f>SUM(G19:H22)</f>
        <v>0</v>
      </c>
      <c r="X29" s="9">
        <f>SUM(I19:J22)</f>
        <v>0</v>
      </c>
      <c r="AM29" s="9" t="s">
        <v>200</v>
      </c>
      <c r="AN29" s="9"/>
      <c r="AO29" s="9"/>
      <c r="AP29" s="9"/>
      <c r="AQ29" s="9"/>
      <c r="AR29" s="9"/>
      <c r="AS29" s="9"/>
      <c r="AT29" s="9"/>
      <c r="AU29" s="9"/>
      <c r="AV29" s="9"/>
      <c r="AW29" s="9"/>
      <c r="AX29" s="9">
        <f ca="1">IF(AZ28&gt;AX28,AZ28,AX28)</f>
        <v>2026</v>
      </c>
      <c r="AY29" s="9"/>
      <c r="AZ29" s="9"/>
      <c r="BA29" s="9"/>
    </row>
    <row r="30" spans="3:67" ht="25.5">
      <c r="C30" s="153" t="s">
        <v>201</v>
      </c>
      <c r="D30" s="214" t="s">
        <v>202</v>
      </c>
      <c r="E30" s="142">
        <v>1.95</v>
      </c>
      <c r="F30" s="153" t="s">
        <v>203</v>
      </c>
      <c r="G30" s="321"/>
      <c r="H30" s="322"/>
      <c r="I30" s="322"/>
      <c r="J30" s="323"/>
      <c r="U30" s="2" t="s">
        <v>204</v>
      </c>
      <c r="V30" s="9">
        <f>SUM(E23:H24)</f>
        <v>0</v>
      </c>
      <c r="W30" s="9"/>
      <c r="X30" s="9"/>
      <c r="AM30" s="9" t="s">
        <v>205</v>
      </c>
      <c r="AN30" s="9"/>
      <c r="AO30" s="9"/>
      <c r="AP30" s="9"/>
      <c r="AQ30" s="9"/>
      <c r="AR30" s="9"/>
      <c r="AS30" s="9"/>
      <c r="AT30" s="9"/>
      <c r="AU30" s="9"/>
      <c r="AV30" s="9"/>
      <c r="AW30" s="9"/>
      <c r="AX30" s="10">
        <f>DATE(I27,1,1)</f>
        <v>1</v>
      </c>
      <c r="AY30" s="9"/>
      <c r="AZ30" s="9">
        <f>IF(I27="",0,YEAR(AX30))</f>
        <v>0</v>
      </c>
      <c r="BA30" s="9"/>
    </row>
    <row r="31" spans="3:67">
      <c r="C31" s="19"/>
      <c r="D31" s="19"/>
      <c r="E31" s="19"/>
      <c r="F31" s="19"/>
      <c r="G31" s="328"/>
      <c r="H31" s="328"/>
      <c r="I31" s="328"/>
      <c r="J31" s="328"/>
      <c r="AM31" s="9" t="s">
        <v>206</v>
      </c>
      <c r="AN31" s="9"/>
      <c r="AO31" s="9"/>
      <c r="AP31" s="9"/>
      <c r="AQ31" s="9"/>
      <c r="AR31" s="9"/>
      <c r="AS31" s="9"/>
      <c r="AT31" s="9"/>
      <c r="AU31" s="9"/>
      <c r="AV31" s="9"/>
      <c r="AW31" s="9"/>
      <c r="AX31" s="9">
        <f ca="1">AX29-AZ30</f>
        <v>2026</v>
      </c>
      <c r="AY31" s="9" t="s">
        <v>207</v>
      </c>
      <c r="AZ31" s="9">
        <f>'Generelt om prosjektet'!C24</f>
        <v>50</v>
      </c>
      <c r="BA31" s="9" t="s">
        <v>207</v>
      </c>
    </row>
    <row r="32" spans="3:67">
      <c r="C32" s="19"/>
      <c r="D32" s="19"/>
      <c r="E32" s="19"/>
      <c r="F32" s="19"/>
      <c r="G32" s="328"/>
      <c r="H32" s="328"/>
      <c r="I32" s="328"/>
      <c r="J32" s="328"/>
      <c r="V32" s="2">
        <f>V30+W29+W30</f>
        <v>0</v>
      </c>
      <c r="AM32" s="9" t="s">
        <v>208</v>
      </c>
      <c r="AN32" s="9"/>
      <c r="AO32" s="9"/>
      <c r="AP32" s="9"/>
      <c r="AQ32" s="9"/>
      <c r="AR32" s="9"/>
      <c r="AS32" s="9"/>
      <c r="AT32" s="9"/>
      <c r="AU32" s="9"/>
      <c r="AV32" s="9"/>
      <c r="AW32" s="9"/>
      <c r="AX32" s="9">
        <f ca="1">'Generelt om prosjektet'!C24-AX31</f>
        <v>-1976</v>
      </c>
      <c r="AY32" s="9" t="s">
        <v>207</v>
      </c>
      <c r="AZ32" s="9"/>
      <c r="BA32" s="9"/>
    </row>
    <row r="33" spans="3:53" ht="15" thickBot="1">
      <c r="C33" s="215" t="s">
        <v>209</v>
      </c>
      <c r="D33" s="51" t="s">
        <v>4</v>
      </c>
      <c r="E33" s="51" t="s">
        <v>210</v>
      </c>
      <c r="F33" s="51" t="s">
        <v>172</v>
      </c>
      <c r="G33" s="212" t="s">
        <v>93</v>
      </c>
      <c r="H33" s="213"/>
      <c r="I33" s="213"/>
      <c r="J33" s="169"/>
      <c r="AE33" s="158" t="s">
        <v>211</v>
      </c>
      <c r="AF33" s="159"/>
      <c r="AG33" s="160"/>
      <c r="AM33" s="9" t="s">
        <v>212</v>
      </c>
      <c r="AX33" s="216">
        <f ca="1">IF($AX$31&lt;$AZ$31,AX26/$AZ$31*$AX$32,0)</f>
        <v>0</v>
      </c>
      <c r="AY33" s="216">
        <f ca="1">IF($AX$31&lt;$AZ$31,AY26/$AZ$31*$AX$32,0)</f>
        <v>0</v>
      </c>
      <c r="AZ33" s="216">
        <f ca="1">IF($AX$31&lt;$AZ$31,AZ26/$AZ$31*$AX$32,0)</f>
        <v>0</v>
      </c>
      <c r="BA33" s="216">
        <f ca="1">IF($AX$31&lt;$AZ$31,BA26/$AZ$31*$AX$32,0)</f>
        <v>0</v>
      </c>
    </row>
    <row r="34" spans="3:53">
      <c r="C34" s="20" t="s">
        <v>213</v>
      </c>
      <c r="D34" s="20" t="s">
        <v>214</v>
      </c>
      <c r="E34" s="140"/>
      <c r="F34" s="20" t="s">
        <v>215</v>
      </c>
      <c r="G34" s="315"/>
      <c r="H34" s="315"/>
      <c r="I34" s="315"/>
      <c r="J34" s="315"/>
      <c r="AE34" s="9"/>
      <c r="AF34" s="9"/>
      <c r="AG34" s="9"/>
      <c r="AI34" s="9" t="s">
        <v>216</v>
      </c>
      <c r="AJ34" s="9">
        <f t="shared" ref="AJ34:AJ43" ca="1" si="18">SUMIF($L$19:$M$24,AI34,$M$19:$M$24)</f>
        <v>0</v>
      </c>
      <c r="AK34" s="2" t="s">
        <v>217</v>
      </c>
    </row>
    <row r="35" spans="3:53">
      <c r="C35" s="20" t="s">
        <v>218</v>
      </c>
      <c r="D35" s="20" t="s">
        <v>219</v>
      </c>
      <c r="E35" s="140"/>
      <c r="F35" s="20" t="s">
        <v>215</v>
      </c>
      <c r="G35" s="315"/>
      <c r="H35" s="315"/>
      <c r="I35" s="315"/>
      <c r="J35" s="315"/>
      <c r="AE35" s="9" t="s">
        <v>196</v>
      </c>
      <c r="AF35" s="9">
        <f>'Generelt om prosjektet'!C24</f>
        <v>50</v>
      </c>
      <c r="AG35" s="9"/>
      <c r="AI35" s="9" t="s">
        <v>220</v>
      </c>
      <c r="AJ35" s="9">
        <f t="shared" ca="1" si="18"/>
        <v>0</v>
      </c>
      <c r="AM35" s="158" t="s">
        <v>221</v>
      </c>
      <c r="AN35" s="159"/>
      <c r="AO35" s="159"/>
      <c r="AP35" s="159"/>
      <c r="AQ35" s="159"/>
      <c r="AR35" s="159"/>
      <c r="AS35" s="159"/>
      <c r="AT35" s="160"/>
    </row>
    <row r="36" spans="3:53">
      <c r="C36" s="20" t="s">
        <v>222</v>
      </c>
      <c r="D36" s="144"/>
      <c r="E36" s="143"/>
      <c r="F36" s="20" t="s">
        <v>215</v>
      </c>
      <c r="G36" s="315"/>
      <c r="H36" s="315"/>
      <c r="I36" s="315"/>
      <c r="J36" s="315"/>
      <c r="AE36" s="9" t="str">
        <f>C34</f>
        <v>Beregnet levert strøm</v>
      </c>
      <c r="AF36" s="66">
        <f>E34*Utslippsdata!C76*$AF$35/1000</f>
        <v>0</v>
      </c>
      <c r="AG36" s="9" t="s">
        <v>223</v>
      </c>
      <c r="AI36" s="9" t="s">
        <v>224</v>
      </c>
      <c r="AJ36" s="9">
        <f t="shared" ca="1" si="18"/>
        <v>0</v>
      </c>
      <c r="AK36" s="2" t="s">
        <v>225</v>
      </c>
      <c r="AM36" s="2">
        <f>'Generelt om prosjektet'!C24</f>
        <v>50</v>
      </c>
      <c r="AN36" s="2" t="s">
        <v>207</v>
      </c>
      <c r="AO36" s="406" t="s">
        <v>226</v>
      </c>
      <c r="AP36" s="406"/>
      <c r="AQ36" s="406"/>
      <c r="AR36" s="406"/>
      <c r="AS36" s="406"/>
      <c r="AT36" s="406"/>
    </row>
    <row r="37" spans="3:53" ht="15">
      <c r="C37" s="20" t="s">
        <v>227</v>
      </c>
      <c r="D37" s="20" t="s">
        <v>228</v>
      </c>
      <c r="E37" s="217"/>
      <c r="F37" s="20" t="s">
        <v>229</v>
      </c>
      <c r="G37" s="315"/>
      <c r="H37" s="315"/>
      <c r="I37" s="315"/>
      <c r="J37" s="315"/>
      <c r="AE37" s="9" t="str">
        <f>C35</f>
        <v>Beregnet levert fjernvarme</v>
      </c>
      <c r="AF37" s="66">
        <f>E35*Utslippsdata!C80*$AF$35/1000</f>
        <v>0</v>
      </c>
      <c r="AG37" s="9" t="s">
        <v>223</v>
      </c>
      <c r="AI37" s="9" t="s">
        <v>230</v>
      </c>
      <c r="AJ37" s="9">
        <f t="shared" ca="1" si="18"/>
        <v>0</v>
      </c>
      <c r="AM37" s="24"/>
      <c r="AN37" s="24" t="s">
        <v>231</v>
      </c>
      <c r="AO37" s="24" t="s">
        <v>232</v>
      </c>
      <c r="AP37" s="24" t="s">
        <v>233</v>
      </c>
      <c r="AQ37" s="24" t="s">
        <v>234</v>
      </c>
      <c r="AR37" s="24" t="s">
        <v>235</v>
      </c>
      <c r="AS37" s="24" t="s">
        <v>236</v>
      </c>
      <c r="AT37" s="24" t="s">
        <v>237</v>
      </c>
      <c r="AW37" s="74"/>
    </row>
    <row r="38" spans="3:53" ht="15" thickBot="1">
      <c r="C38" s="20" t="s">
        <v>238</v>
      </c>
      <c r="D38" s="20" t="s">
        <v>238</v>
      </c>
      <c r="E38" s="140"/>
      <c r="F38" s="20" t="s">
        <v>239</v>
      </c>
      <c r="G38" s="315"/>
      <c r="H38" s="315"/>
      <c r="I38" s="315"/>
      <c r="J38" s="315"/>
      <c r="V38" s="158" t="s">
        <v>240</v>
      </c>
      <c r="W38" s="159"/>
      <c r="X38" s="159"/>
      <c r="Y38" s="160"/>
      <c r="AE38" s="9" t="str">
        <f>C36</f>
        <v>Annen kilde, spesifiser</v>
      </c>
      <c r="AF38" s="66">
        <f>E36*E37*$AF$35/1000</f>
        <v>0</v>
      </c>
      <c r="AG38" s="9" t="s">
        <v>223</v>
      </c>
      <c r="AI38" s="9" t="s">
        <v>241</v>
      </c>
      <c r="AJ38" s="9">
        <f t="shared" ca="1" si="18"/>
        <v>0</v>
      </c>
      <c r="AK38" s="2" t="s">
        <v>242</v>
      </c>
      <c r="AM38" s="9" t="s">
        <v>243</v>
      </c>
      <c r="AN38" s="9">
        <f t="shared" ref="AN38:AN48" si="19">SUMIF($D$19:$D$24,AM38,$E$19:$E$24)+SUMIF($D$19:$D$24,AM38,$G$19:$G$24)</f>
        <v>0</v>
      </c>
      <c r="AO38" s="14">
        <f>IFERROR(Utslippsdata!C114+800/AN38,0)*AN38</f>
        <v>0</v>
      </c>
      <c r="AP38" s="14">
        <f>IFERROR(120+1600/AN38,0)*AN38</f>
        <v>0</v>
      </c>
      <c r="AQ38" s="14">
        <f>IFERROR(145+2500/AN38,0)*AN38</f>
        <v>0</v>
      </c>
      <c r="AR38" s="14">
        <f>IFERROR(175+4100/AN38,0)*AN38</f>
        <v>0</v>
      </c>
      <c r="AS38" s="14">
        <f>IFERROR(205+5800/AN38,0)*AN38</f>
        <v>0</v>
      </c>
      <c r="AT38" s="14">
        <f>IFERROR(250+8000/AN38,0)*AN38</f>
        <v>0</v>
      </c>
    </row>
    <row r="39" spans="3:53">
      <c r="C39" s="20" t="s">
        <v>244</v>
      </c>
      <c r="D39" s="20" t="s">
        <v>245</v>
      </c>
      <c r="E39" s="140"/>
      <c r="F39" s="20" t="s">
        <v>215</v>
      </c>
      <c r="G39" s="315"/>
      <c r="H39" s="315"/>
      <c r="I39" s="315"/>
      <c r="J39" s="315"/>
      <c r="V39" s="9" t="s">
        <v>246</v>
      </c>
      <c r="W39" s="9"/>
      <c r="X39" s="9"/>
      <c r="Y39" s="9" t="s">
        <v>247</v>
      </c>
      <c r="Z39" s="12"/>
      <c r="AA39" s="218" t="s">
        <v>100</v>
      </c>
      <c r="AB39" s="6"/>
      <c r="AE39" s="9" t="str">
        <f>C39</f>
        <v>Levert strøm fra solceller</v>
      </c>
      <c r="AF39" s="66">
        <f>E39*Utslippsdata!C76*$AF$35/1000</f>
        <v>0</v>
      </c>
      <c r="AG39" s="9" t="s">
        <v>223</v>
      </c>
      <c r="AI39" s="9" t="s">
        <v>248</v>
      </c>
      <c r="AJ39" s="9">
        <f t="shared" ca="1" si="18"/>
        <v>0</v>
      </c>
      <c r="AK39" s="2" t="s">
        <v>249</v>
      </c>
      <c r="AM39" s="9" t="s">
        <v>185</v>
      </c>
      <c r="AN39" s="9">
        <f t="shared" si="19"/>
        <v>0</v>
      </c>
      <c r="AO39" s="14">
        <f>IFERROR(85+600/AN39,0)*AN39</f>
        <v>0</v>
      </c>
      <c r="AP39" s="14">
        <f>IFERROR(95+1000/AN39,0)*AN39</f>
        <v>0</v>
      </c>
      <c r="AQ39" s="14">
        <f>IFERROR(110+1500/AN39,0)*AN39</f>
        <v>0</v>
      </c>
      <c r="AR39" s="14">
        <f>IFERROR(135+2200/AN39,0)*AN39</f>
        <v>0</v>
      </c>
      <c r="AS39" s="14">
        <f>IFERROR(160+3000/AN39,0)*AN39</f>
        <v>0</v>
      </c>
      <c r="AT39" s="14">
        <f>IFERROR(200+4000/AN39,0)*AN39</f>
        <v>0</v>
      </c>
    </row>
    <row r="40" spans="3:53">
      <c r="C40" s="19"/>
      <c r="D40" s="19"/>
      <c r="E40" s="19"/>
      <c r="F40" s="19"/>
      <c r="G40" s="19"/>
      <c r="H40" s="19"/>
      <c r="I40" s="19"/>
      <c r="J40" s="19"/>
      <c r="V40" s="9">
        <f>IF(OR(D19=AK135,D20=AK135,D21=AK135,D22=AK135),1,0)</f>
        <v>0</v>
      </c>
      <c r="W40" s="9"/>
      <c r="X40" s="9">
        <v>1.95</v>
      </c>
      <c r="Y40" s="9">
        <f>IF(E30="",X40,E30)</f>
        <v>1.95</v>
      </c>
      <c r="AA40" s="185" t="s">
        <v>250</v>
      </c>
      <c r="AE40" s="9" t="s">
        <v>251</v>
      </c>
      <c r="AF40" s="66">
        <f>E38*(Utslippsdata!B107+Utslippsdata!C107+Utslippsdata!D107+Utslippsdata!E107+Utslippsdata!F107)/1000</f>
        <v>0</v>
      </c>
      <c r="AG40" s="9" t="s">
        <v>223</v>
      </c>
      <c r="AI40" s="9" t="s">
        <v>252</v>
      </c>
      <c r="AJ40" s="9">
        <f t="shared" ca="1" si="18"/>
        <v>0</v>
      </c>
      <c r="AK40" s="2" t="s">
        <v>253</v>
      </c>
      <c r="AM40" s="9" t="s">
        <v>254</v>
      </c>
      <c r="AN40" s="9">
        <f t="shared" si="19"/>
        <v>0</v>
      </c>
      <c r="AO40" s="14">
        <f>$AN40*Utslippsdata!C118</f>
        <v>0</v>
      </c>
      <c r="AP40" s="14">
        <f>$AN40*Utslippsdata!D118</f>
        <v>0</v>
      </c>
      <c r="AQ40" s="14">
        <f>$AN40*Utslippsdata!E118</f>
        <v>0</v>
      </c>
      <c r="AR40" s="14">
        <f>$AN40*Utslippsdata!F118</f>
        <v>0</v>
      </c>
      <c r="AS40" s="14">
        <f>$AN40*Utslippsdata!G118</f>
        <v>0</v>
      </c>
      <c r="AT40" s="14">
        <f>$AN40*Utslippsdata!H118</f>
        <v>0</v>
      </c>
    </row>
    <row r="41" spans="3:53">
      <c r="C41" s="20" t="s">
        <v>255</v>
      </c>
      <c r="D41" s="130" t="s">
        <v>250</v>
      </c>
      <c r="E41" s="19"/>
      <c r="F41" s="19"/>
      <c r="G41" s="19"/>
      <c r="H41" s="19"/>
      <c r="I41" s="19"/>
      <c r="J41" s="19"/>
      <c r="AA41" s="185" t="s">
        <v>256</v>
      </c>
      <c r="AI41" s="9" t="s">
        <v>257</v>
      </c>
      <c r="AJ41" s="9">
        <f t="shared" ca="1" si="18"/>
        <v>0</v>
      </c>
      <c r="AK41" s="2" t="s">
        <v>258</v>
      </c>
      <c r="AM41" s="9" t="s">
        <v>183</v>
      </c>
      <c r="AN41" s="9">
        <f t="shared" si="19"/>
        <v>0</v>
      </c>
      <c r="AO41" s="14">
        <f>$AN41*Utslippsdata!C119</f>
        <v>0</v>
      </c>
      <c r="AP41" s="14">
        <f>$AN41*Utslippsdata!D119</f>
        <v>0</v>
      </c>
      <c r="AQ41" s="14">
        <f>$AN41*Utslippsdata!E119</f>
        <v>0</v>
      </c>
      <c r="AR41" s="14">
        <f>$AN41*Utslippsdata!F119</f>
        <v>0</v>
      </c>
      <c r="AS41" s="14">
        <f>$AN41*Utslippsdata!G119</f>
        <v>0</v>
      </c>
      <c r="AT41" s="14">
        <f>$AN41*Utslippsdata!H119</f>
        <v>0</v>
      </c>
    </row>
    <row r="42" spans="3:53">
      <c r="C42" s="19"/>
      <c r="D42" s="19"/>
      <c r="E42" s="19"/>
      <c r="F42" s="19"/>
      <c r="G42" s="19"/>
      <c r="H42" s="19"/>
      <c r="I42" s="19"/>
      <c r="J42" s="19"/>
      <c r="AA42" s="185" t="s">
        <v>101</v>
      </c>
      <c r="AE42" s="219" t="s">
        <v>259</v>
      </c>
      <c r="AF42" s="219"/>
      <c r="AI42" s="9" t="s">
        <v>260</v>
      </c>
      <c r="AJ42" s="9">
        <f t="shared" ca="1" si="18"/>
        <v>0</v>
      </c>
      <c r="AK42" s="2" t="s">
        <v>261</v>
      </c>
      <c r="AM42" s="9" t="s">
        <v>262</v>
      </c>
      <c r="AN42" s="9">
        <f t="shared" si="19"/>
        <v>0</v>
      </c>
      <c r="AO42" s="14">
        <f>$AN42*Utslippsdata!C120</f>
        <v>0</v>
      </c>
      <c r="AP42" s="14">
        <f>$AN42*Utslippsdata!D120</f>
        <v>0</v>
      </c>
      <c r="AQ42" s="14">
        <f>$AN42*Utslippsdata!E120</f>
        <v>0</v>
      </c>
      <c r="AR42" s="14">
        <f>$AN42*Utslippsdata!F120</f>
        <v>0</v>
      </c>
      <c r="AS42" s="14">
        <f>$AN42*Utslippsdata!G120</f>
        <v>0</v>
      </c>
      <c r="AT42" s="14">
        <f>$AN42*Utslippsdata!H120</f>
        <v>0</v>
      </c>
    </row>
    <row r="43" spans="3:53">
      <c r="C43" s="51" t="s">
        <v>263</v>
      </c>
      <c r="D43" s="51"/>
      <c r="E43" s="51" t="s">
        <v>264</v>
      </c>
      <c r="F43" s="212" t="s">
        <v>93</v>
      </c>
      <c r="G43" s="213"/>
      <c r="H43" s="213"/>
      <c r="I43" s="213"/>
      <c r="J43" s="169"/>
      <c r="AA43" s="220"/>
      <c r="AE43" s="219" t="s">
        <v>265</v>
      </c>
      <c r="AF43" s="219"/>
      <c r="AI43" s="9" t="s">
        <v>266</v>
      </c>
      <c r="AJ43" s="9">
        <f t="shared" ca="1" si="18"/>
        <v>0</v>
      </c>
      <c r="AM43" s="9" t="s">
        <v>267</v>
      </c>
      <c r="AN43" s="9">
        <f t="shared" si="19"/>
        <v>0</v>
      </c>
      <c r="AO43" s="14">
        <f>$AN43*Utslippsdata!C121</f>
        <v>0</v>
      </c>
      <c r="AP43" s="14">
        <f>$AN43*Utslippsdata!D121</f>
        <v>0</v>
      </c>
      <c r="AQ43" s="14">
        <f>$AN43*Utslippsdata!E121</f>
        <v>0</v>
      </c>
      <c r="AR43" s="14">
        <f>$AN43*Utslippsdata!F121</f>
        <v>0</v>
      </c>
      <c r="AS43" s="14">
        <f>$AN43*Utslippsdata!G121</f>
        <v>0</v>
      </c>
      <c r="AT43" s="14">
        <f>$AN43*Utslippsdata!H121</f>
        <v>0</v>
      </c>
    </row>
    <row r="44" spans="3:53" ht="14.25" customHeight="1">
      <c r="C44" s="178" t="s">
        <v>268</v>
      </c>
      <c r="D44" s="208"/>
      <c r="E44" s="130" t="s">
        <v>269</v>
      </c>
      <c r="F44" s="315"/>
      <c r="G44" s="315"/>
      <c r="H44" s="315"/>
      <c r="I44" s="315"/>
      <c r="J44" s="315"/>
      <c r="V44" s="219" t="s">
        <v>270</v>
      </c>
      <c r="AA44" s="220"/>
      <c r="AE44" s="66">
        <f>D54*Utslippsdata!C146</f>
        <v>0</v>
      </c>
      <c r="AF44" s="9" t="s">
        <v>271</v>
      </c>
      <c r="AM44" s="9" t="s">
        <v>272</v>
      </c>
      <c r="AN44" s="9">
        <f t="shared" si="19"/>
        <v>0</v>
      </c>
      <c r="AO44" s="14">
        <f>$AN44*Utslippsdata!C122</f>
        <v>0</v>
      </c>
      <c r="AP44" s="14">
        <f>$AN44*Utslippsdata!D122</f>
        <v>0</v>
      </c>
      <c r="AQ44" s="14">
        <f>$AN44*Utslippsdata!E122</f>
        <v>0</v>
      </c>
      <c r="AR44" s="14">
        <f>$AN44*Utslippsdata!F122</f>
        <v>0</v>
      </c>
      <c r="AS44" s="14">
        <f>$AN44*Utslippsdata!G122</f>
        <v>0</v>
      </c>
      <c r="AT44" s="14">
        <f>$AN44*Utslippsdata!H122</f>
        <v>0</v>
      </c>
    </row>
    <row r="45" spans="3:53">
      <c r="C45" s="221" t="str">
        <f>IF(E44=Ja,"","*Hvis nei inkluderes utslipp i beregningene basert på oppgitt areal og standard utslippstall for solceller, inverter, kabler, festesystem og ballast")</f>
        <v>*Hvis nei inkluderes utslipp i beregningene basert på oppgitt areal og standard utslippstall for solceller, inverter, kabler, festesystem og ballast</v>
      </c>
      <c r="D45" s="19"/>
      <c r="E45" s="19"/>
      <c r="F45" s="19"/>
      <c r="G45" s="19"/>
      <c r="H45" s="19"/>
      <c r="I45" s="19"/>
      <c r="J45" s="19"/>
      <c r="V45" s="9" t="s">
        <v>273</v>
      </c>
      <c r="AA45" s="185" t="s">
        <v>274</v>
      </c>
      <c r="AE45" s="66">
        <f>D55*Utslippsdata!C147</f>
        <v>0</v>
      </c>
      <c r="AF45" s="9" t="s">
        <v>271</v>
      </c>
      <c r="AI45" s="2" t="s">
        <v>275</v>
      </c>
      <c r="AJ45" s="2">
        <v>1.95</v>
      </c>
      <c r="AM45" s="9" t="s">
        <v>276</v>
      </c>
      <c r="AN45" s="9">
        <f t="shared" si="19"/>
        <v>0</v>
      </c>
      <c r="AO45" s="14">
        <f>$AN45*Utslippsdata!C123</f>
        <v>0</v>
      </c>
      <c r="AP45" s="14">
        <f>$AN45*Utslippsdata!D123</f>
        <v>0</v>
      </c>
      <c r="AQ45" s="14">
        <f>$AN45*Utslippsdata!E123</f>
        <v>0</v>
      </c>
      <c r="AR45" s="14">
        <f>$AN45*Utslippsdata!F123</f>
        <v>0</v>
      </c>
      <c r="AS45" s="14">
        <f>$AN45*Utslippsdata!G123</f>
        <v>0</v>
      </c>
      <c r="AT45" s="14">
        <f>$AN45*Utslippsdata!H123</f>
        <v>0</v>
      </c>
    </row>
    <row r="46" spans="3:53" ht="15" customHeight="1">
      <c r="C46" s="221" t="str">
        <f>IF(E44=Nei,"","*Hvis ja skal materialutslipp fra solceller, inverter, kabler, festesystem og ballast inkluderes i A1-A3, A4, A5, B1-B5 (antatt 30 år levetid) og C1-C4 inkluderes i resultattabell under")</f>
        <v/>
      </c>
      <c r="D46" s="19"/>
      <c r="E46" s="19"/>
      <c r="F46" s="19"/>
      <c r="G46" s="19"/>
      <c r="H46" s="19"/>
      <c r="I46" s="19"/>
      <c r="J46" s="19"/>
      <c r="V46" s="9">
        <f>IF(E38&gt;0,1,0)</f>
        <v>0</v>
      </c>
      <c r="AA46" s="185" t="s">
        <v>277</v>
      </c>
      <c r="AE46" s="66">
        <f>D56*Utslippsdata!C148</f>
        <v>0</v>
      </c>
      <c r="AF46" s="9" t="s">
        <v>271</v>
      </c>
      <c r="AI46" s="2" t="s">
        <v>278</v>
      </c>
      <c r="AJ46" s="2">
        <f>IF((OR(E30=0,E30="")),AJ45,E30)</f>
        <v>1.95</v>
      </c>
      <c r="AM46" s="9" t="s">
        <v>279</v>
      </c>
      <c r="AN46" s="9">
        <f t="shared" si="19"/>
        <v>0</v>
      </c>
      <c r="AO46" s="14">
        <f>$AN46*Utslippsdata!C124</f>
        <v>0</v>
      </c>
      <c r="AP46" s="14">
        <f>$AN46*Utslippsdata!D124</f>
        <v>0</v>
      </c>
      <c r="AQ46" s="14">
        <f>$AN46*Utslippsdata!E124</f>
        <v>0</v>
      </c>
      <c r="AR46" s="14">
        <f>$AN46*Utslippsdata!F124</f>
        <v>0</v>
      </c>
      <c r="AS46" s="14">
        <f>$AN46*Utslippsdata!G124</f>
        <v>0</v>
      </c>
      <c r="AT46" s="14">
        <f>$AN46*Utslippsdata!H124</f>
        <v>0</v>
      </c>
    </row>
    <row r="47" spans="3:53" ht="15" customHeight="1" thickBot="1">
      <c r="C47" s="19"/>
      <c r="D47" s="19"/>
      <c r="E47" s="19"/>
      <c r="F47" s="19"/>
      <c r="G47" s="19"/>
      <c r="H47" s="19"/>
      <c r="I47" s="19"/>
      <c r="J47" s="19"/>
      <c r="AA47" s="222" t="s">
        <v>269</v>
      </c>
      <c r="AE47" s="66">
        <f>D57*Utslippsdata!C149</f>
        <v>0</v>
      </c>
      <c r="AF47" s="9" t="s">
        <v>271</v>
      </c>
      <c r="AI47"/>
      <c r="AM47" s="9" t="s">
        <v>280</v>
      </c>
      <c r="AN47" s="9">
        <f t="shared" si="19"/>
        <v>0</v>
      </c>
      <c r="AO47" s="14">
        <f>$AN47*Utslippsdata!C125</f>
        <v>0</v>
      </c>
      <c r="AP47" s="14">
        <f>$AN47*Utslippsdata!D125</f>
        <v>0</v>
      </c>
      <c r="AQ47" s="14">
        <f>$AN47*Utslippsdata!E125</f>
        <v>0</v>
      </c>
      <c r="AR47" s="14">
        <f>$AN47*Utslippsdata!F125</f>
        <v>0</v>
      </c>
      <c r="AS47" s="14">
        <f>$AN47*Utslippsdata!G125</f>
        <v>0</v>
      </c>
      <c r="AT47" s="14">
        <f>$AN47*Utslippsdata!H125</f>
        <v>0</v>
      </c>
    </row>
    <row r="48" spans="3:53" ht="15" customHeight="1">
      <c r="C48" s="215" t="s">
        <v>281</v>
      </c>
      <c r="D48" s="352" t="s">
        <v>282</v>
      </c>
      <c r="E48" s="353" t="s">
        <v>283</v>
      </c>
      <c r="F48" s="353" t="s">
        <v>172</v>
      </c>
      <c r="G48" s="353" t="s">
        <v>284</v>
      </c>
      <c r="H48" s="353" t="s">
        <v>93</v>
      </c>
      <c r="I48" s="353"/>
      <c r="J48" s="353"/>
      <c r="AE48" s="223">
        <f>SUM(AE44:AE47)/1000</f>
        <v>0</v>
      </c>
      <c r="AF48" s="24" t="s">
        <v>223</v>
      </c>
      <c r="AI48" s="9" t="s">
        <v>285</v>
      </c>
      <c r="AJ48" s="9">
        <f ca="1">ROUND(AJ35*AJ46+AJ39,0)</f>
        <v>0</v>
      </c>
      <c r="AK48" s="2" t="s">
        <v>249</v>
      </c>
      <c r="AM48" s="9" t="s">
        <v>286</v>
      </c>
      <c r="AN48" s="9">
        <f t="shared" si="19"/>
        <v>0</v>
      </c>
      <c r="AO48" s="14">
        <f>$AN48*Utslippsdata!C126</f>
        <v>0</v>
      </c>
      <c r="AP48" s="14">
        <f>$AN48*Utslippsdata!D126</f>
        <v>0</v>
      </c>
      <c r="AQ48" s="14">
        <f>$AN48*Utslippsdata!E126</f>
        <v>0</v>
      </c>
      <c r="AR48" s="14">
        <f>$AN48*Utslippsdata!F126</f>
        <v>0</v>
      </c>
      <c r="AS48" s="14">
        <f>$AN48*Utslippsdata!G126</f>
        <v>0</v>
      </c>
      <c r="AT48" s="14">
        <f>$AN48*Utslippsdata!H126</f>
        <v>0</v>
      </c>
    </row>
    <row r="49" spans="3:46" ht="15">
      <c r="C49" s="51" t="s">
        <v>287</v>
      </c>
      <c r="D49" s="352"/>
      <c r="E49" s="353"/>
      <c r="F49" s="353"/>
      <c r="G49" s="353"/>
      <c r="H49" s="353"/>
      <c r="I49" s="353"/>
      <c r="J49" s="353"/>
      <c r="M49" s="6"/>
      <c r="N49" s="6"/>
      <c r="O49" s="6"/>
      <c r="P49" s="6"/>
      <c r="Q49" s="6"/>
      <c r="R49" s="6"/>
      <c r="S49" s="6"/>
      <c r="T49" s="6"/>
      <c r="U49" s="6"/>
      <c r="AI49"/>
      <c r="AM49" s="81" t="s">
        <v>170</v>
      </c>
      <c r="AN49" s="81"/>
      <c r="AO49" s="224">
        <f t="shared" ref="AO49:AT49" si="20">SUM(AO38:AO48)</f>
        <v>0</v>
      </c>
      <c r="AP49" s="224">
        <f t="shared" si="20"/>
        <v>0</v>
      </c>
      <c r="AQ49" s="224">
        <f t="shared" si="20"/>
        <v>0</v>
      </c>
      <c r="AR49" s="224">
        <f t="shared" si="20"/>
        <v>0</v>
      </c>
      <c r="AS49" s="224">
        <f t="shared" si="20"/>
        <v>0</v>
      </c>
      <c r="AT49" s="224">
        <f t="shared" si="20"/>
        <v>0</v>
      </c>
    </row>
    <row r="50" spans="3:46" ht="15">
      <c r="C50" s="20" t="s">
        <v>288</v>
      </c>
      <c r="D50" s="130">
        <v>50</v>
      </c>
      <c r="E50" s="140">
        <v>0</v>
      </c>
      <c r="F50" s="20" t="s">
        <v>289</v>
      </c>
      <c r="G50" s="130" t="s">
        <v>295</v>
      </c>
      <c r="H50" s="315"/>
      <c r="I50" s="315"/>
      <c r="J50" s="315"/>
      <c r="M50" s="6"/>
      <c r="N50" s="6"/>
      <c r="O50" s="6"/>
      <c r="P50" s="6"/>
      <c r="Q50" s="6"/>
      <c r="R50" s="6"/>
      <c r="S50" s="6"/>
      <c r="T50" s="6"/>
      <c r="U50" s="6"/>
      <c r="V50" s="158" t="s">
        <v>291</v>
      </c>
      <c r="W50" s="159"/>
      <c r="X50" s="159"/>
      <c r="Y50" s="159"/>
      <c r="Z50" s="159"/>
      <c r="AA50" s="160"/>
      <c r="AE50" s="219" t="s">
        <v>292</v>
      </c>
      <c r="AF50" s="219"/>
      <c r="AI50" s="9" t="str">
        <f ca="1">AJ34&amp;" "&amp;AK34</f>
        <v xml:space="preserve">0 arbeidsplasser, </v>
      </c>
      <c r="AJ50" s="2" t="str">
        <f ca="1">IF(AJ34=0,"",AI50)</f>
        <v/>
      </c>
      <c r="AM50" s="225" t="s">
        <v>293</v>
      </c>
      <c r="AN50" s="225"/>
      <c r="AO50" s="226">
        <f>AO49*$AM$36*Utslippsdata!$C$76/1000</f>
        <v>0</v>
      </c>
      <c r="AP50" s="226">
        <f>AP49*$AM$36*Utslippsdata!$C$76/1000</f>
        <v>0</v>
      </c>
      <c r="AQ50" s="226">
        <f>AQ49*$AM$36*Utslippsdata!$C$76/1000</f>
        <v>0</v>
      </c>
      <c r="AR50" s="226">
        <f>AR49*$AM$36*Utslippsdata!$C$76/1000</f>
        <v>0</v>
      </c>
      <c r="AS50" s="226">
        <f>AS49*$AM$36*Utslippsdata!$C$76/1000</f>
        <v>0</v>
      </c>
      <c r="AT50" s="226">
        <f>AT49*$AM$36*Utslippsdata!$C$76/1000</f>
        <v>0</v>
      </c>
    </row>
    <row r="51" spans="3:46">
      <c r="C51" s="20" t="s">
        <v>294</v>
      </c>
      <c r="D51" s="130">
        <v>50</v>
      </c>
      <c r="E51" s="140">
        <v>0</v>
      </c>
      <c r="F51" s="20" t="s">
        <v>289</v>
      </c>
      <c r="G51" s="130" t="s">
        <v>295</v>
      </c>
      <c r="H51" s="312"/>
      <c r="I51" s="313"/>
      <c r="J51" s="314"/>
      <c r="N51" s="6"/>
      <c r="V51" s="227">
        <v>1</v>
      </c>
      <c r="W51" s="227">
        <v>2</v>
      </c>
      <c r="X51" s="227">
        <v>3</v>
      </c>
      <c r="Y51" s="227">
        <v>4</v>
      </c>
      <c r="Z51" s="227">
        <v>5</v>
      </c>
      <c r="AE51" s="9">
        <f>D60*(Utslippsdata!C133+Utslippsdata!$C$136)</f>
        <v>0</v>
      </c>
      <c r="AF51" s="9" t="s">
        <v>271</v>
      </c>
      <c r="AI51" s="9" t="str">
        <f ca="1">AJ36&amp;" "&amp;AK36</f>
        <v xml:space="preserve">0 elevplasser, </v>
      </c>
      <c r="AJ51" s="2" t="str">
        <f ca="1">IF(AJ36=0,"",AI51)</f>
        <v/>
      </c>
    </row>
    <row r="52" spans="3:46">
      <c r="C52" s="19"/>
      <c r="D52" s="19"/>
      <c r="E52" s="19"/>
      <c r="F52" s="19"/>
      <c r="G52" s="19"/>
      <c r="H52" s="19"/>
      <c r="I52" s="19"/>
      <c r="J52" s="19"/>
      <c r="N52" s="6"/>
      <c r="V52" s="228" t="s">
        <v>284</v>
      </c>
      <c r="W52" s="228"/>
      <c r="AE52" s="9">
        <f>D61*(Utslippsdata!C134+Utslippsdata!$C$136)</f>
        <v>0</v>
      </c>
      <c r="AF52" s="9" t="s">
        <v>271</v>
      </c>
      <c r="AI52" s="9" t="str">
        <f ca="1">AJ38&amp;" "&amp;AK38</f>
        <v xml:space="preserve">0 beboere på sykehjem, </v>
      </c>
      <c r="AJ52" s="2" t="str">
        <f ca="1">IF(AJ38=0,"",AI52)</f>
        <v/>
      </c>
    </row>
    <row r="53" spans="3:46">
      <c r="C53" s="51" t="s">
        <v>296</v>
      </c>
      <c r="D53" s="51" t="s">
        <v>64</v>
      </c>
      <c r="E53" s="51" t="s">
        <v>172</v>
      </c>
      <c r="F53" s="212" t="s">
        <v>93</v>
      </c>
      <c r="G53" s="213"/>
      <c r="H53" s="213"/>
      <c r="I53" s="213"/>
      <c r="J53" s="169"/>
      <c r="N53" s="6"/>
      <c r="V53" s="9" t="s">
        <v>295</v>
      </c>
      <c r="W53" s="9"/>
      <c r="Z53" s="229">
        <f>Z54</f>
        <v>0.13887096774193547</v>
      </c>
      <c r="AA53" s="9" t="s">
        <v>297</v>
      </c>
      <c r="AE53" s="9">
        <f>D62*(Utslippsdata!C135+Utslippsdata!$C$136)</f>
        <v>0</v>
      </c>
      <c r="AF53" s="9" t="s">
        <v>271</v>
      </c>
      <c r="AI53" s="9" t="str">
        <f ca="1">AJ40&amp;" "&amp;AK40</f>
        <v xml:space="preserve">0 plasser for barn, </v>
      </c>
      <c r="AJ53" s="2" t="str">
        <f ca="1">IF(AJ40=0,"",AI53)</f>
        <v/>
      </c>
    </row>
    <row r="54" spans="3:46">
      <c r="C54" s="20" t="s">
        <v>298</v>
      </c>
      <c r="D54" s="130"/>
      <c r="E54" s="130" t="s">
        <v>239</v>
      </c>
      <c r="F54" s="312"/>
      <c r="G54" s="313"/>
      <c r="H54" s="313"/>
      <c r="I54" s="313"/>
      <c r="J54" s="314"/>
      <c r="N54" s="6"/>
      <c r="V54" s="9" t="s">
        <v>299</v>
      </c>
      <c r="W54" s="9">
        <v>2.87</v>
      </c>
      <c r="X54" s="2" t="s">
        <v>300</v>
      </c>
      <c r="Z54" s="79">
        <f>W59*W54/W58</f>
        <v>0.13887096774193547</v>
      </c>
      <c r="AA54" s="9" t="s">
        <v>297</v>
      </c>
      <c r="AE54" s="9">
        <f>D63*Utslippsdata!C136</f>
        <v>0</v>
      </c>
      <c r="AF54" s="9" t="s">
        <v>271</v>
      </c>
      <c r="AI54" s="9" t="str">
        <f ca="1">AJ41&amp;" "&amp;AK41</f>
        <v xml:space="preserve">0 besøkende pr år, </v>
      </c>
      <c r="AJ54" s="2" t="str">
        <f ca="1">IF(AJ41=0,"",AI54)</f>
        <v/>
      </c>
    </row>
    <row r="55" spans="3:46">
      <c r="C55" s="20" t="s">
        <v>301</v>
      </c>
      <c r="D55" s="130"/>
      <c r="E55" s="130" t="s">
        <v>239</v>
      </c>
      <c r="F55" s="312"/>
      <c r="G55" s="313"/>
      <c r="H55" s="313"/>
      <c r="I55" s="313"/>
      <c r="J55" s="314"/>
      <c r="N55" s="6"/>
      <c r="V55" s="9" t="s">
        <v>290</v>
      </c>
      <c r="W55" s="9"/>
      <c r="Z55" s="79">
        <f>W59*W60*Utslippsdata!C78/W58</f>
        <v>5.0112597937020005E-3</v>
      </c>
      <c r="AA55" s="9" t="s">
        <v>297</v>
      </c>
      <c r="AE55" s="9">
        <f>D64*Utslippsdata!C140</f>
        <v>0</v>
      </c>
      <c r="AF55" s="9" t="s">
        <v>271</v>
      </c>
      <c r="AI55" s="9" t="str">
        <f ca="1">AJ42&amp;" "&amp;AK42</f>
        <v xml:space="preserve">0 hotellsenger, </v>
      </c>
      <c r="AJ55" s="2" t="str">
        <f ca="1">IF(AJ42=0,"",AI55)</f>
        <v/>
      </c>
    </row>
    <row r="56" spans="3:46">
      <c r="C56" s="20" t="s">
        <v>302</v>
      </c>
      <c r="D56" s="130"/>
      <c r="E56" s="130" t="s">
        <v>239</v>
      </c>
      <c r="F56" s="312"/>
      <c r="G56" s="313"/>
      <c r="H56" s="313"/>
      <c r="I56" s="313"/>
      <c r="J56" s="314"/>
      <c r="N56" s="6"/>
      <c r="V56" s="9" t="s">
        <v>303</v>
      </c>
      <c r="W56" s="9">
        <v>1.462518</v>
      </c>
      <c r="X56" s="2" t="s">
        <v>304</v>
      </c>
      <c r="Z56" s="79">
        <f>W61*W63*W56/W58</f>
        <v>7.2654119999999989E-2</v>
      </c>
      <c r="AA56" s="9" t="s">
        <v>297</v>
      </c>
      <c r="AE56" s="9">
        <f>D65*Utslippsdata!C141</f>
        <v>0</v>
      </c>
      <c r="AF56" s="9" t="s">
        <v>271</v>
      </c>
      <c r="AI56" s="230" t="str">
        <f ca="1">AJ48&amp;" "&amp;AK48</f>
        <v xml:space="preserve">0 bosatte, </v>
      </c>
      <c r="AJ56" s="2" t="str">
        <f ca="1">IF(AJ48=0,"",AI56)</f>
        <v/>
      </c>
      <c r="AN56" s="158" t="s">
        <v>305</v>
      </c>
      <c r="AO56" s="159"/>
      <c r="AP56" s="159"/>
      <c r="AQ56" s="159"/>
      <c r="AR56" s="160"/>
    </row>
    <row r="57" spans="3:46">
      <c r="C57" s="20" t="s">
        <v>306</v>
      </c>
      <c r="D57" s="130"/>
      <c r="E57" s="130" t="s">
        <v>239</v>
      </c>
      <c r="F57" s="312"/>
      <c r="G57" s="313"/>
      <c r="H57" s="313"/>
      <c r="I57" s="313"/>
      <c r="J57" s="314"/>
      <c r="N57" s="6"/>
      <c r="AE57" s="9">
        <f>D66*Utslippsdata!C142</f>
        <v>0</v>
      </c>
      <c r="AF57" s="9" t="s">
        <v>271</v>
      </c>
      <c r="AI57" s="81" t="str">
        <f ca="1">AJ50&amp;AJ51&amp;AJ52&amp;AJ53&amp;AJ54&amp;AJ55&amp;AJ56</f>
        <v/>
      </c>
      <c r="AJ57" s="81"/>
    </row>
    <row r="58" spans="3:46" ht="15">
      <c r="C58" s="19"/>
      <c r="D58" s="19"/>
      <c r="E58" s="19"/>
      <c r="F58" s="19"/>
      <c r="G58" s="19"/>
      <c r="H58" s="19"/>
      <c r="I58" s="19"/>
      <c r="J58" s="19"/>
      <c r="N58" s="6"/>
      <c r="V58" s="9" t="s">
        <v>307</v>
      </c>
      <c r="W58" s="9">
        <v>9.3000000000000007</v>
      </c>
      <c r="X58" s="9" t="s">
        <v>308</v>
      </c>
      <c r="AE58" s="24">
        <f>SUM(AE51:AE57)/1000</f>
        <v>0</v>
      </c>
      <c r="AF58" s="24" t="s">
        <v>223</v>
      </c>
      <c r="AI58" s="81">
        <f ca="1">AJ34+AJ36+AJ38+AJ40+AJ41+AJ42+AJ48</f>
        <v>0</v>
      </c>
      <c r="AJ58" s="81" t="s">
        <v>309</v>
      </c>
    </row>
    <row r="59" spans="3:46">
      <c r="C59" s="51" t="s">
        <v>310</v>
      </c>
      <c r="D59" s="51" t="s">
        <v>311</v>
      </c>
      <c r="E59" s="51" t="s">
        <v>172</v>
      </c>
      <c r="F59" s="212" t="s">
        <v>93</v>
      </c>
      <c r="G59" s="213"/>
      <c r="H59" s="213"/>
      <c r="I59" s="213"/>
      <c r="J59" s="169"/>
      <c r="N59" s="6"/>
      <c r="V59" s="9" t="s">
        <v>312</v>
      </c>
      <c r="W59" s="9">
        <f>0.45</f>
        <v>0.45</v>
      </c>
      <c r="X59" s="9" t="s">
        <v>313</v>
      </c>
      <c r="Y59" s="9" t="s">
        <v>314</v>
      </c>
      <c r="Z59" s="9" t="s">
        <v>315</v>
      </c>
    </row>
    <row r="60" spans="3:46">
      <c r="C60" s="20" t="s">
        <v>316</v>
      </c>
      <c r="D60" s="130"/>
      <c r="E60" s="130" t="s">
        <v>239</v>
      </c>
      <c r="F60" s="312"/>
      <c r="G60" s="313"/>
      <c r="H60" s="313"/>
      <c r="I60" s="313"/>
      <c r="J60" s="314"/>
      <c r="N60" s="6"/>
      <c r="V60" s="9" t="s">
        <v>317</v>
      </c>
      <c r="W60" s="9">
        <v>4.2888888888888896</v>
      </c>
      <c r="X60" s="9" t="s">
        <v>318</v>
      </c>
      <c r="Y60" s="9"/>
      <c r="Z60" s="9"/>
    </row>
    <row r="61" spans="3:46">
      <c r="C61" s="20" t="s">
        <v>319</v>
      </c>
      <c r="D61" s="130"/>
      <c r="E61" s="130" t="s">
        <v>239</v>
      </c>
      <c r="F61" s="312"/>
      <c r="G61" s="313"/>
      <c r="H61" s="313"/>
      <c r="I61" s="313"/>
      <c r="J61" s="314"/>
      <c r="N61" s="6"/>
      <c r="V61" s="9" t="s">
        <v>320</v>
      </c>
      <c r="W61" s="9">
        <v>0.7</v>
      </c>
      <c r="X61" s="9" t="s">
        <v>321</v>
      </c>
      <c r="Y61" s="9" t="s">
        <v>322</v>
      </c>
      <c r="Z61" s="9" t="s">
        <v>323</v>
      </c>
    </row>
    <row r="62" spans="3:46">
      <c r="C62" s="20" t="s">
        <v>324</v>
      </c>
      <c r="D62" s="130"/>
      <c r="E62" s="130" t="s">
        <v>239</v>
      </c>
      <c r="F62" s="312"/>
      <c r="G62" s="313"/>
      <c r="H62" s="313"/>
      <c r="I62" s="313"/>
      <c r="J62" s="314"/>
      <c r="N62" s="6"/>
      <c r="V62" s="9" t="s">
        <v>320</v>
      </c>
      <c r="W62" s="9">
        <f>623251/1080000</f>
        <v>0.57708425925925921</v>
      </c>
      <c r="X62" s="9" t="s">
        <v>321</v>
      </c>
      <c r="Y62" s="9" t="s">
        <v>325</v>
      </c>
      <c r="Z62" s="9"/>
    </row>
    <row r="63" spans="3:46">
      <c r="C63" s="20" t="s">
        <v>326</v>
      </c>
      <c r="D63" s="130"/>
      <c r="E63" s="130" t="s">
        <v>239</v>
      </c>
      <c r="F63" s="312"/>
      <c r="G63" s="313"/>
      <c r="H63" s="313"/>
      <c r="I63" s="313"/>
      <c r="J63" s="314"/>
      <c r="N63" s="6"/>
      <c r="V63" s="9" t="s">
        <v>303</v>
      </c>
      <c r="W63" s="9">
        <v>0.66</v>
      </c>
      <c r="X63" s="9" t="s">
        <v>327</v>
      </c>
      <c r="Y63" s="9" t="s">
        <v>325</v>
      </c>
      <c r="Z63" s="9"/>
      <c r="AI63" s="2" t="str">
        <f>AJ47&amp;" "&amp;AK47</f>
        <v xml:space="preserve"> </v>
      </c>
    </row>
    <row r="64" spans="3:46">
      <c r="C64" s="20" t="s">
        <v>328</v>
      </c>
      <c r="D64" s="130"/>
      <c r="E64" s="130" t="s">
        <v>309</v>
      </c>
      <c r="F64" s="312"/>
      <c r="G64" s="313"/>
      <c r="H64" s="313"/>
      <c r="I64" s="313"/>
      <c r="J64" s="314"/>
      <c r="N64" s="6"/>
    </row>
    <row r="65" spans="3:38">
      <c r="C65" s="20" t="s">
        <v>329</v>
      </c>
      <c r="D65" s="130"/>
      <c r="E65" s="130" t="s">
        <v>309</v>
      </c>
      <c r="F65" s="312"/>
      <c r="G65" s="313"/>
      <c r="H65" s="313"/>
      <c r="I65" s="313"/>
      <c r="J65" s="314"/>
      <c r="N65" s="6"/>
      <c r="V65" s="407" t="s">
        <v>330</v>
      </c>
      <c r="W65" s="407"/>
      <c r="X65" s="407"/>
      <c r="Y65" s="407"/>
      <c r="Z65" s="407"/>
    </row>
    <row r="66" spans="3:38">
      <c r="C66" s="20" t="s">
        <v>331</v>
      </c>
      <c r="D66" s="130"/>
      <c r="E66" s="130" t="s">
        <v>309</v>
      </c>
      <c r="F66" s="312"/>
      <c r="G66" s="313"/>
      <c r="H66" s="313"/>
      <c r="I66" s="313"/>
      <c r="J66" s="314"/>
      <c r="N66" s="6"/>
      <c r="V66" s="9" t="s">
        <v>332</v>
      </c>
      <c r="W66" s="9" t="s">
        <v>333</v>
      </c>
      <c r="X66" s="9" t="s">
        <v>65</v>
      </c>
      <c r="Y66" s="9" t="s">
        <v>334</v>
      </c>
      <c r="Z66" s="9"/>
    </row>
    <row r="67" spans="3:38">
      <c r="G67" s="337"/>
      <c r="H67" s="337"/>
      <c r="I67" s="337"/>
      <c r="J67" s="337"/>
      <c r="N67" s="6"/>
      <c r="V67" s="9">
        <v>50</v>
      </c>
      <c r="W67" s="9">
        <v>2</v>
      </c>
      <c r="X67" s="14">
        <f>E50*V67*W67*Z54/1000</f>
        <v>0</v>
      </c>
      <c r="Y67" s="14">
        <f>E50*D50*W67*VLOOKUP(G50,$V$53:$Z$56,$Z$51,FALSE)/1000</f>
        <v>0</v>
      </c>
      <c r="Z67" s="9" t="s">
        <v>335</v>
      </c>
    </row>
    <row r="68" spans="3:38" hidden="1">
      <c r="G68" s="337"/>
      <c r="H68" s="337"/>
      <c r="I68" s="337"/>
      <c r="J68" s="337"/>
      <c r="V68" s="9">
        <v>50</v>
      </c>
      <c r="W68" s="9">
        <v>2</v>
      </c>
      <c r="X68" s="14">
        <f>E51*V68*W68*Z54/1000</f>
        <v>0</v>
      </c>
      <c r="Y68" s="14">
        <f>E51*D51*W68*VLOOKUP(G51,$V$53:$Z$56,$Z$51,FALSE)/1000</f>
        <v>0</v>
      </c>
      <c r="Z68" s="9" t="s">
        <v>335</v>
      </c>
    </row>
    <row r="69" spans="3:38" hidden="1">
      <c r="G69" s="337"/>
      <c r="H69" s="337"/>
      <c r="I69" s="337"/>
      <c r="J69" s="337"/>
      <c r="X69" s="231">
        <f>X67+X68</f>
        <v>0</v>
      </c>
      <c r="Y69" s="231">
        <f>Y67+Y68</f>
        <v>0</v>
      </c>
      <c r="Z69" s="9" t="s">
        <v>335</v>
      </c>
    </row>
    <row r="70" spans="3:38" hidden="1"/>
    <row r="71" spans="3:38" hidden="1"/>
    <row r="72" spans="3:38" hidden="1"/>
    <row r="73" spans="3:38" hidden="1"/>
    <row r="74" spans="3:38" hidden="1"/>
    <row r="75" spans="3:38" hidden="1"/>
    <row r="76" spans="3:38" ht="25.5">
      <c r="C76" s="53" t="s">
        <v>438</v>
      </c>
    </row>
    <row r="78" spans="3:38" ht="15" customHeight="1">
      <c r="C78" s="360" t="s">
        <v>337</v>
      </c>
      <c r="D78" s="338" t="str">
        <f>"Tonn CO2 ekv, "&amp;VLOOKUP('Generelt om prosjektet'!C25,'Generelt om prosjektet'!W25:X28,2,FALSE)&amp;". Klimagassutslippene er oppgit uten hensyn til binding av biogent karbon."</f>
        <v>Tonn CO2 ekv, GWP. Klimagassutslippene er oppgit uten hensyn til binding av biogent karbon.</v>
      </c>
      <c r="E78" s="339"/>
      <c r="F78" s="339"/>
      <c r="G78" s="339"/>
      <c r="H78" s="329" t="s">
        <v>338</v>
      </c>
      <c r="I78" s="232" t="s">
        <v>93</v>
      </c>
      <c r="J78" s="233"/>
      <c r="K78" s="233"/>
      <c r="L78" s="234"/>
      <c r="V78" s="6" t="s">
        <v>339</v>
      </c>
    </row>
    <row r="79" spans="3:38" ht="45" customHeight="1">
      <c r="C79" s="361"/>
      <c r="D79" s="151" t="s">
        <v>340</v>
      </c>
      <c r="E79" s="235" t="s">
        <v>341</v>
      </c>
      <c r="F79" s="235" t="s">
        <v>342</v>
      </c>
      <c r="G79" s="236" t="s">
        <v>170</v>
      </c>
      <c r="H79" s="330"/>
      <c r="I79" s="237"/>
      <c r="J79" s="238"/>
      <c r="K79" s="238"/>
      <c r="L79" s="239"/>
      <c r="V79" s="8" t="s">
        <v>65</v>
      </c>
      <c r="W79" s="8" t="s">
        <v>343</v>
      </c>
      <c r="X79" s="8" t="s">
        <v>344</v>
      </c>
      <c r="Y79" s="8" t="s">
        <v>345</v>
      </c>
      <c r="Z79" s="8" t="s">
        <v>346</v>
      </c>
      <c r="AA79" s="5" t="s">
        <v>614</v>
      </c>
    </row>
    <row r="80" spans="3:38" ht="30" customHeight="1">
      <c r="C80" s="152" t="s">
        <v>347</v>
      </c>
      <c r="D80" s="240"/>
      <c r="E80" s="140"/>
      <c r="F80" s="241"/>
      <c r="G80" s="242">
        <f>E80</f>
        <v>0</v>
      </c>
      <c r="H80" s="243">
        <f>IF(G93=0,0,IF(G80=0,0.1,G80))</f>
        <v>0</v>
      </c>
      <c r="I80" s="334"/>
      <c r="J80" s="335"/>
      <c r="K80" s="335"/>
      <c r="L80" s="336"/>
      <c r="U80" s="62">
        <f>G80</f>
        <v>0</v>
      </c>
      <c r="V80" s="244">
        <f>SUM(BB19:BB24)/1000</f>
        <v>0</v>
      </c>
      <c r="W80" s="245" t="s">
        <v>348</v>
      </c>
      <c r="X80" s="9" t="s">
        <v>349</v>
      </c>
      <c r="Y80" s="245" t="s">
        <v>350</v>
      </c>
      <c r="Z80" s="9" t="s">
        <v>349</v>
      </c>
      <c r="AH80" s="15" t="s">
        <v>32</v>
      </c>
      <c r="AI80" s="14">
        <f>G80</f>
        <v>0</v>
      </c>
      <c r="AJ80" s="100">
        <f>V80</f>
        <v>0</v>
      </c>
      <c r="AK80" s="78">
        <f>IFERROR(AI80/AJ80,0)</f>
        <v>0</v>
      </c>
      <c r="AL80" s="9"/>
    </row>
    <row r="81" spans="3:38" ht="15" customHeight="1">
      <c r="C81" s="214" t="s">
        <v>351</v>
      </c>
      <c r="D81" s="140"/>
      <c r="E81" s="140"/>
      <c r="F81" s="240"/>
      <c r="G81" s="242">
        <f>D81+E81</f>
        <v>0</v>
      </c>
      <c r="H81" s="246">
        <f>IFERROR(G81/V81,1)</f>
        <v>1</v>
      </c>
      <c r="I81" s="318"/>
      <c r="J81" s="319"/>
      <c r="K81" s="319"/>
      <c r="L81" s="320"/>
      <c r="U81" s="62">
        <f>G81</f>
        <v>0</v>
      </c>
      <c r="V81" s="247">
        <f>(AN25+AS25+AO25+AT25)/1000</f>
        <v>0</v>
      </c>
      <c r="W81" s="248">
        <v>1.1000000000000001</v>
      </c>
      <c r="X81" s="248">
        <v>0.9</v>
      </c>
      <c r="Y81" s="248">
        <v>0.1</v>
      </c>
      <c r="Z81" s="249">
        <v>0</v>
      </c>
      <c r="AH81" s="15" t="s">
        <v>33</v>
      </c>
      <c r="AI81" s="14">
        <f>G81</f>
        <v>0</v>
      </c>
      <c r="AJ81" s="14">
        <f>V81</f>
        <v>0</v>
      </c>
      <c r="AK81" s="78">
        <f>IFERROR(AI81/AJ81,0)</f>
        <v>0</v>
      </c>
      <c r="AL81" s="9"/>
    </row>
    <row r="82" spans="3:38">
      <c r="C82" s="20" t="s">
        <v>352</v>
      </c>
      <c r="D82" s="140"/>
      <c r="E82" s="140"/>
      <c r="F82" s="140"/>
      <c r="G82" s="242">
        <f>D82+E82+F82</f>
        <v>0</v>
      </c>
      <c r="H82" s="246">
        <f>IFERROR(G82/V82,1)</f>
        <v>1</v>
      </c>
      <c r="I82" s="331"/>
      <c r="J82" s="332"/>
      <c r="K82" s="332"/>
      <c r="L82" s="333"/>
      <c r="U82" s="62">
        <f>G82</f>
        <v>0</v>
      </c>
      <c r="V82" s="247">
        <f>(SUM(AN19:AN24)+SUM(AS19:AS24))/1000</f>
        <v>0</v>
      </c>
      <c r="W82" s="248">
        <v>1.1000000000000001</v>
      </c>
      <c r="X82" s="248">
        <v>0.9</v>
      </c>
      <c r="Y82" s="248">
        <v>0.1</v>
      </c>
      <c r="Z82" s="249">
        <v>0</v>
      </c>
      <c r="AA82" s="2">
        <f>SUM(BO19:BO24)/1000</f>
        <v>0</v>
      </c>
      <c r="AH82" s="9" t="s">
        <v>36</v>
      </c>
      <c r="AI82" s="14">
        <f>G82+G83+G89+G92</f>
        <v>0</v>
      </c>
      <c r="AJ82" s="14">
        <f>V82+V83+V89</f>
        <v>0</v>
      </c>
      <c r="AK82" s="78">
        <f>IFERROR(AI82/AJ82,0)</f>
        <v>0</v>
      </c>
      <c r="AL82" s="9"/>
    </row>
    <row r="83" spans="3:38">
      <c r="C83" s="20" t="s">
        <v>353</v>
      </c>
      <c r="D83" s="140"/>
      <c r="E83" s="140"/>
      <c r="F83" s="140"/>
      <c r="G83" s="242">
        <f>D83+E83+F83</f>
        <v>0</v>
      </c>
      <c r="H83" s="246">
        <f>IFERROR(G83/V83,1)</f>
        <v>1</v>
      </c>
      <c r="I83" s="318"/>
      <c r="J83" s="319"/>
      <c r="K83" s="319"/>
      <c r="L83" s="320"/>
      <c r="U83" s="62">
        <f>G83</f>
        <v>0</v>
      </c>
      <c r="V83" s="247">
        <f>(SUM(AO19:AO24)+SUM(AT19:AT24))/1000</f>
        <v>0</v>
      </c>
      <c r="W83" s="248">
        <v>1.1000000000000001</v>
      </c>
      <c r="X83" s="248">
        <v>0.9</v>
      </c>
      <c r="Y83" s="248">
        <v>0.1</v>
      </c>
      <c r="Z83" s="249">
        <v>0</v>
      </c>
      <c r="AH83" s="9" t="s">
        <v>38</v>
      </c>
      <c r="AI83" s="14">
        <f>G84+G85+G86</f>
        <v>0</v>
      </c>
      <c r="AJ83" s="14">
        <f>V84+V85+V86</f>
        <v>0</v>
      </c>
      <c r="AK83" s="78">
        <f>IFERROR((AI83-G85)/AJ83,0)</f>
        <v>0</v>
      </c>
      <c r="AL83" s="9"/>
    </row>
    <row r="84" spans="3:38">
      <c r="C84" s="214" t="s">
        <v>354</v>
      </c>
      <c r="D84" s="140"/>
      <c r="E84" s="140"/>
      <c r="F84" s="140"/>
      <c r="G84" s="242">
        <f>D84+E84+F84</f>
        <v>0</v>
      </c>
      <c r="H84" s="246">
        <f>IFERROR(G84/V84,1)</f>
        <v>1</v>
      </c>
      <c r="I84" s="318"/>
      <c r="J84" s="319"/>
      <c r="K84" s="319"/>
      <c r="L84" s="320"/>
      <c r="U84" s="62">
        <f>G84</f>
        <v>0</v>
      </c>
      <c r="V84" s="247">
        <f>(SUM(AP19:AP25)+SUM(AU19:AU25))/1000</f>
        <v>0</v>
      </c>
      <c r="W84" s="248">
        <v>1.1000000000000001</v>
      </c>
      <c r="X84" s="248">
        <v>0.9</v>
      </c>
      <c r="Y84" s="248">
        <v>0.1</v>
      </c>
      <c r="Z84" s="249">
        <v>0</v>
      </c>
      <c r="AH84" s="9" t="s">
        <v>40</v>
      </c>
      <c r="AI84" s="14">
        <f>G90</f>
        <v>0</v>
      </c>
      <c r="AJ84" s="14">
        <f>V90</f>
        <v>0</v>
      </c>
      <c r="AK84" s="78">
        <f>IFERROR(AI84/AJ84,0)</f>
        <v>0</v>
      </c>
      <c r="AL84" s="9"/>
    </row>
    <row r="85" spans="3:38">
      <c r="C85" s="214" t="s">
        <v>355</v>
      </c>
      <c r="D85" s="365"/>
      <c r="E85" s="366"/>
      <c r="F85" s="367"/>
      <c r="G85" s="242">
        <f>D85</f>
        <v>0</v>
      </c>
      <c r="H85" s="250" t="s">
        <v>349</v>
      </c>
      <c r="I85" s="318"/>
      <c r="J85" s="319"/>
      <c r="K85" s="319"/>
      <c r="L85" s="320"/>
      <c r="U85" s="62"/>
      <c r="V85" s="251"/>
      <c r="AH85" s="9" t="s">
        <v>42</v>
      </c>
      <c r="AI85" s="14">
        <f>G87+G88</f>
        <v>0</v>
      </c>
      <c r="AJ85" s="14">
        <f>V87+V88</f>
        <v>0</v>
      </c>
      <c r="AK85" s="78">
        <f>IFERROR(AI85/AJ85,0)</f>
        <v>0</v>
      </c>
      <c r="AL85" s="9"/>
    </row>
    <row r="86" spans="3:38">
      <c r="C86" s="214" t="s">
        <v>356</v>
      </c>
      <c r="D86" s="409">
        <f>Y69</f>
        <v>0</v>
      </c>
      <c r="E86" s="410"/>
      <c r="F86" s="411"/>
      <c r="G86" s="242">
        <f>D86</f>
        <v>0</v>
      </c>
      <c r="H86" s="246">
        <f>IFERROR(G86/V86,1)</f>
        <v>1</v>
      </c>
      <c r="I86" s="331"/>
      <c r="J86" s="332"/>
      <c r="K86" s="332"/>
      <c r="L86" s="333"/>
      <c r="U86" s="62">
        <f>G86</f>
        <v>0</v>
      </c>
      <c r="V86" s="247">
        <f>X69</f>
        <v>0</v>
      </c>
      <c r="W86" s="248">
        <v>1.1000000000000001</v>
      </c>
      <c r="X86" s="248">
        <v>0.9</v>
      </c>
      <c r="Y86" s="248">
        <v>0</v>
      </c>
      <c r="Z86" s="245" t="s">
        <v>349</v>
      </c>
      <c r="AH86" s="9" t="s">
        <v>44</v>
      </c>
      <c r="AI86" s="14">
        <f>G91</f>
        <v>0</v>
      </c>
      <c r="AJ86" s="14">
        <f>V91</f>
        <v>0</v>
      </c>
      <c r="AK86" s="78">
        <f>IFERROR(AI86/AJ86,0)</f>
        <v>0</v>
      </c>
      <c r="AL86" s="9"/>
    </row>
    <row r="87" spans="3:38" ht="15" customHeight="1">
      <c r="C87" s="214" t="s">
        <v>357</v>
      </c>
      <c r="D87" s="409">
        <f>AE48</f>
        <v>0</v>
      </c>
      <c r="E87" s="410"/>
      <c r="F87" s="411"/>
      <c r="G87" s="242">
        <f t="shared" ref="G87:G93" si="21">D87+E87+F87</f>
        <v>0</v>
      </c>
      <c r="H87" s="316">
        <f>V87</f>
        <v>0</v>
      </c>
      <c r="I87" s="318"/>
      <c r="J87" s="319"/>
      <c r="K87" s="319"/>
      <c r="L87" s="320"/>
      <c r="U87" s="62">
        <f>G87+G88</f>
        <v>0</v>
      </c>
      <c r="V87" s="14">
        <f>(G87+G88)</f>
        <v>0</v>
      </c>
      <c r="W87" s="252" t="s">
        <v>358</v>
      </c>
      <c r="X87" s="252" t="s">
        <v>359</v>
      </c>
      <c r="Y87" s="252" t="s">
        <v>360</v>
      </c>
      <c r="Z87" s="245" t="s">
        <v>349</v>
      </c>
      <c r="AH87" s="9"/>
      <c r="AI87" s="14">
        <f>SUM(AI80:AI86)</f>
        <v>0</v>
      </c>
      <c r="AJ87" s="9"/>
      <c r="AK87" s="78"/>
      <c r="AL87" s="9"/>
    </row>
    <row r="88" spans="3:38" ht="15" customHeight="1">
      <c r="C88" s="214" t="s">
        <v>361</v>
      </c>
      <c r="D88" s="362">
        <f>AE58</f>
        <v>0</v>
      </c>
      <c r="E88" s="363"/>
      <c r="F88" s="364"/>
      <c r="G88" s="242">
        <f t="shared" si="21"/>
        <v>0</v>
      </c>
      <c r="H88" s="317"/>
      <c r="I88" s="334"/>
      <c r="J88" s="335"/>
      <c r="K88" s="335"/>
      <c r="L88" s="336"/>
      <c r="U88" s="62"/>
      <c r="V88" s="14"/>
      <c r="W88" s="252" t="s">
        <v>358</v>
      </c>
      <c r="X88" s="252" t="s">
        <v>359</v>
      </c>
      <c r="Y88" s="252" t="s">
        <v>360</v>
      </c>
      <c r="Z88" s="245" t="s">
        <v>349</v>
      </c>
    </row>
    <row r="89" spans="3:38">
      <c r="C89" s="20" t="str">
        <f>"B2, B4, Drift og vedlikehold, "&amp;'Generelt om prosjektet'!C24&amp;" år"</f>
        <v>B2, B4, Drift og vedlikehold, 50 år</v>
      </c>
      <c r="D89" s="140"/>
      <c r="E89" s="140"/>
      <c r="F89" s="140"/>
      <c r="G89" s="242">
        <f t="shared" si="21"/>
        <v>0</v>
      </c>
      <c r="H89" s="246">
        <f>IFERROR(G89/V89,1)</f>
        <v>1</v>
      </c>
      <c r="I89" s="331"/>
      <c r="J89" s="332"/>
      <c r="K89" s="332"/>
      <c r="L89" s="333"/>
      <c r="U89" s="62">
        <f>G89</f>
        <v>0</v>
      </c>
      <c r="V89" s="247">
        <f>(SUM(AQ19:AQ24)+SUM(AV19:AV24))/1000</f>
        <v>0</v>
      </c>
      <c r="W89" s="248">
        <v>1.1000000000000001</v>
      </c>
      <c r="X89" s="248">
        <v>0.9</v>
      </c>
      <c r="Y89" s="248">
        <v>0.1</v>
      </c>
      <c r="Z89" s="249">
        <v>0</v>
      </c>
    </row>
    <row r="90" spans="3:38">
      <c r="C90" s="20" t="str">
        <f>"B6: Energi i drift, "&amp;'Generelt om prosjektet'!C24&amp;" år"</f>
        <v>B6: Energi i drift, 50 år</v>
      </c>
      <c r="D90" s="362">
        <f>SUM(AF36:AF39)</f>
        <v>0</v>
      </c>
      <c r="E90" s="363"/>
      <c r="F90" s="364"/>
      <c r="G90" s="242">
        <f t="shared" si="21"/>
        <v>0</v>
      </c>
      <c r="H90" s="246">
        <f>IFERROR(G90/V90,1)</f>
        <v>1</v>
      </c>
      <c r="I90" s="318"/>
      <c r="J90" s="319"/>
      <c r="K90" s="319"/>
      <c r="L90" s="320"/>
      <c r="U90" s="62">
        <f>G90</f>
        <v>0</v>
      </c>
      <c r="V90" s="247">
        <f>AQ50</f>
        <v>0</v>
      </c>
      <c r="W90" s="248">
        <v>1.1000000000000001</v>
      </c>
      <c r="X90" s="248">
        <v>0.9</v>
      </c>
      <c r="Y90" s="248">
        <v>0.1</v>
      </c>
      <c r="Z90" s="249">
        <v>0</v>
      </c>
    </row>
    <row r="91" spans="3:38">
      <c r="C91" s="214" t="s">
        <v>362</v>
      </c>
      <c r="D91" s="143"/>
      <c r="E91" s="143"/>
      <c r="F91" s="143"/>
      <c r="G91" s="242">
        <f t="shared" si="21"/>
        <v>0</v>
      </c>
      <c r="H91" s="246">
        <f>IFERROR(G91/V91,1)</f>
        <v>1</v>
      </c>
      <c r="I91" s="318"/>
      <c r="J91" s="319"/>
      <c r="K91" s="319"/>
      <c r="L91" s="320"/>
      <c r="U91" s="62">
        <f>G91</f>
        <v>0</v>
      </c>
      <c r="V91" s="247">
        <f>(SUM(AR19:AR25)+SUM(AW19:AW25))/1000</f>
        <v>0</v>
      </c>
      <c r="W91" s="248">
        <v>1.1000000000000001</v>
      </c>
      <c r="X91" s="248">
        <v>0.9</v>
      </c>
      <c r="Y91" s="248">
        <v>0.4</v>
      </c>
      <c r="Z91" s="249">
        <v>0</v>
      </c>
    </row>
    <row r="92" spans="3:38">
      <c r="C92" s="214" t="s">
        <v>363</v>
      </c>
      <c r="D92" s="241">
        <f>IF(E44=Nei,AF40,0)</f>
        <v>0</v>
      </c>
      <c r="E92" s="241"/>
      <c r="F92" s="241"/>
      <c r="G92" s="242">
        <f t="shared" si="21"/>
        <v>0</v>
      </c>
      <c r="H92" s="253" t="s">
        <v>349</v>
      </c>
      <c r="I92" s="318"/>
      <c r="J92" s="319"/>
      <c r="K92" s="319"/>
      <c r="L92" s="320"/>
      <c r="U92" s="62"/>
      <c r="V92" s="251"/>
      <c r="W92" s="254"/>
      <c r="X92" s="254"/>
      <c r="Y92" s="254"/>
    </row>
    <row r="93" spans="3:38">
      <c r="C93" s="255" t="s">
        <v>364</v>
      </c>
      <c r="D93" s="256">
        <f>SUM(D80:D92)</f>
        <v>0</v>
      </c>
      <c r="E93" s="256">
        <f>SUM(E80:E92)</f>
        <v>0</v>
      </c>
      <c r="F93" s="256">
        <f>SUM(F80:F92)</f>
        <v>0</v>
      </c>
      <c r="G93" s="256">
        <f t="shared" si="21"/>
        <v>0</v>
      </c>
      <c r="H93" s="257">
        <f>IFERROR(U93/V93,0)</f>
        <v>0</v>
      </c>
      <c r="I93" s="357"/>
      <c r="J93" s="358"/>
      <c r="K93" s="358"/>
      <c r="L93" s="359"/>
      <c r="U93" s="224">
        <f>SUM(U80:U92)</f>
        <v>0</v>
      </c>
      <c r="V93" s="224">
        <f>SUM(V80:V92)</f>
        <v>0</v>
      </c>
    </row>
    <row r="94" spans="3:38">
      <c r="C94" s="19"/>
      <c r="D94" s="19"/>
      <c r="E94" s="19"/>
      <c r="F94" s="19"/>
      <c r="G94" s="19"/>
      <c r="H94" s="19"/>
      <c r="I94" s="19"/>
      <c r="J94" s="19"/>
      <c r="K94" s="19"/>
      <c r="L94" s="19"/>
    </row>
    <row r="95" spans="3:38">
      <c r="C95" s="19"/>
      <c r="D95" s="19"/>
      <c r="E95" s="19"/>
      <c r="F95" s="19"/>
      <c r="G95" s="19"/>
      <c r="H95" s="19"/>
      <c r="I95" s="19"/>
      <c r="J95" s="19"/>
      <c r="K95" s="19"/>
      <c r="L95" s="19"/>
    </row>
    <row r="96" spans="3:38">
      <c r="C96" s="354" t="s">
        <v>365</v>
      </c>
      <c r="D96" s="338" t="str">
        <f>D78</f>
        <v>Tonn CO2 ekv, GWP. Klimagassutslippene er oppgit uten hensyn til binding av biogent karbon.</v>
      </c>
      <c r="E96" s="339"/>
      <c r="F96" s="339"/>
      <c r="G96" s="339"/>
      <c r="H96" s="356"/>
      <c r="I96" s="232" t="s">
        <v>93</v>
      </c>
      <c r="J96" s="258"/>
      <c r="K96" s="233"/>
      <c r="L96" s="234"/>
    </row>
    <row r="97" spans="3:24" ht="30" customHeight="1">
      <c r="C97" s="355"/>
      <c r="D97" s="151" t="s">
        <v>340</v>
      </c>
      <c r="E97" s="235" t="s">
        <v>162</v>
      </c>
      <c r="F97" s="235" t="s">
        <v>163</v>
      </c>
      <c r="G97" s="393" t="s">
        <v>170</v>
      </c>
      <c r="H97" s="394"/>
      <c r="I97" s="237"/>
      <c r="J97" s="259"/>
      <c r="K97" s="238"/>
      <c r="L97" s="239"/>
    </row>
    <row r="98" spans="3:24">
      <c r="C98" s="214" t="s">
        <v>366</v>
      </c>
      <c r="D98" s="340"/>
      <c r="E98" s="342"/>
      <c r="F98" s="241"/>
      <c r="G98" s="395">
        <f>D98</f>
        <v>0</v>
      </c>
      <c r="H98" s="396"/>
      <c r="I98" s="340"/>
      <c r="J98" s="341"/>
      <c r="K98" s="341"/>
      <c r="L98" s="342"/>
    </row>
    <row r="99" spans="3:24" ht="30" customHeight="1">
      <c r="C99" s="20" t="s">
        <v>47</v>
      </c>
      <c r="D99" s="391" t="str">
        <f ca="1">IF(AX32&gt;0,"Beregnet med "&amp;AX32&amp;" års 'restlevetid' til beregningsperioden på "&amp;'Generelt om prosjektet'!C24&amp;" år","")</f>
        <v/>
      </c>
      <c r="E99" s="392"/>
      <c r="F99" s="260">
        <f ca="1">SUM(AX33:BA33)/1000</f>
        <v>0</v>
      </c>
      <c r="G99" s="395">
        <f ca="1">F99</f>
        <v>0</v>
      </c>
      <c r="H99" s="396"/>
      <c r="I99" s="340"/>
      <c r="J99" s="341"/>
      <c r="K99" s="341"/>
      <c r="L99" s="342"/>
    </row>
    <row r="100" spans="3:24">
      <c r="C100" s="408" t="s">
        <v>431</v>
      </c>
      <c r="D100" s="344"/>
      <c r="E100" s="344"/>
      <c r="F100" s="344"/>
      <c r="G100" s="344"/>
      <c r="H100" s="344"/>
      <c r="I100" s="344"/>
      <c r="J100" s="344"/>
      <c r="K100" s="344"/>
      <c r="L100" s="345"/>
    </row>
    <row r="101" spans="3:24">
      <c r="C101" s="346"/>
      <c r="D101" s="347"/>
      <c r="E101" s="347"/>
      <c r="F101" s="347"/>
      <c r="G101" s="347"/>
      <c r="H101" s="347"/>
      <c r="I101" s="347"/>
      <c r="J101" s="347"/>
      <c r="K101" s="347"/>
      <c r="L101" s="348"/>
    </row>
    <row r="102" spans="3:24">
      <c r="C102" s="346"/>
      <c r="D102" s="347"/>
      <c r="E102" s="347"/>
      <c r="F102" s="347"/>
      <c r="G102" s="347"/>
      <c r="H102" s="347"/>
      <c r="I102" s="347"/>
      <c r="J102" s="347"/>
      <c r="K102" s="347"/>
      <c r="L102" s="348"/>
    </row>
    <row r="103" spans="3:24">
      <c r="C103" s="349"/>
      <c r="D103" s="350"/>
      <c r="E103" s="350"/>
      <c r="F103" s="350"/>
      <c r="G103" s="350"/>
      <c r="H103" s="350"/>
      <c r="I103" s="350"/>
      <c r="J103" s="350"/>
      <c r="K103" s="350"/>
      <c r="L103" s="351"/>
    </row>
    <row r="107" spans="3:24" ht="25.5">
      <c r="C107" s="53" t="str">
        <f>"Alternativ 5: Resultat. B6: Energi i drift, "&amp;'Generelt om prosjektet'!C24&amp;" år, ulike utslippsfaktorer for energi"</f>
        <v>Alternativ 5: Resultat. B6: Energi i drift, 50 år, ulike utslippsfaktorer for energi</v>
      </c>
    </row>
    <row r="108" spans="3:24">
      <c r="C108" s="19"/>
      <c r="D108" s="19"/>
      <c r="E108" s="19"/>
      <c r="F108" s="19"/>
      <c r="G108" s="19"/>
      <c r="H108" s="19"/>
      <c r="I108" s="19"/>
    </row>
    <row r="109" spans="3:24">
      <c r="C109" s="19"/>
      <c r="D109" s="311" t="s">
        <v>368</v>
      </c>
      <c r="E109" s="311"/>
      <c r="F109" s="311"/>
      <c r="G109" s="19"/>
      <c r="H109" s="19"/>
      <c r="I109" s="19"/>
    </row>
    <row r="110" spans="3:24" ht="25.5">
      <c r="C110" s="51" t="s">
        <v>369</v>
      </c>
      <c r="D110" s="51" t="s">
        <v>370</v>
      </c>
      <c r="E110" s="51" t="s">
        <v>371</v>
      </c>
      <c r="F110" s="51" t="s">
        <v>372</v>
      </c>
      <c r="G110" s="261" t="str">
        <f>"Beregnet utslipp over "&amp;'Generelt om prosjektet'!C24&amp;" år"</f>
        <v>Beregnet utslipp over 50 år</v>
      </c>
      <c r="H110" s="151" t="s">
        <v>172</v>
      </c>
      <c r="I110" s="19"/>
    </row>
    <row r="111" spans="3:24">
      <c r="C111" s="20" t="s">
        <v>373</v>
      </c>
      <c r="D111" s="262">
        <f>Utslippsdata!C77</f>
        <v>1.7747665114285747E-2</v>
      </c>
      <c r="E111" s="262">
        <f>Utslippsdata!C83</f>
        <v>1.4693376033679371E-2</v>
      </c>
      <c r="F111" s="20">
        <f>E37</f>
        <v>0</v>
      </c>
      <c r="G111" s="242">
        <f>(($W$111+$W$114)*D111+$W$112*E111+$W$113*F111)*$W$115/1000</f>
        <v>0</v>
      </c>
      <c r="H111" s="20" t="s">
        <v>374</v>
      </c>
      <c r="I111" s="19"/>
      <c r="V111" s="9" t="s">
        <v>370</v>
      </c>
      <c r="W111" s="14">
        <f>E34</f>
        <v>0</v>
      </c>
      <c r="X111" s="9" t="s">
        <v>375</v>
      </c>
    </row>
    <row r="112" spans="3:24">
      <c r="C112" s="437" t="s">
        <v>382</v>
      </c>
      <c r="D112" s="438">
        <f>Utslippsdata!C76</f>
        <v>0.10462896495714274</v>
      </c>
      <c r="E112" s="438">
        <f>Utslippsdata!C80</f>
        <v>3.8751119274583641E-2</v>
      </c>
      <c r="F112" s="437">
        <f>E37</f>
        <v>0</v>
      </c>
      <c r="G112" s="439">
        <f>(($W$111+$W$114)*D112+$W$112*E112+$W$113*F112)*$W$115/1000</f>
        <v>0</v>
      </c>
      <c r="H112" s="437" t="s">
        <v>374</v>
      </c>
      <c r="I112" s="19"/>
      <c r="V112" s="9" t="s">
        <v>377</v>
      </c>
      <c r="W112" s="14">
        <f>E35</f>
        <v>0</v>
      </c>
      <c r="X112" s="9" t="s">
        <v>375</v>
      </c>
    </row>
    <row r="113" spans="3:27">
      <c r="C113" s="19"/>
      <c r="D113" s="19"/>
      <c r="E113" s="19"/>
      <c r="F113" s="19"/>
      <c r="G113" s="19"/>
      <c r="H113" s="19"/>
      <c r="I113" s="19"/>
      <c r="V113" s="9" t="s">
        <v>378</v>
      </c>
      <c r="W113" s="14">
        <f>E36</f>
        <v>0</v>
      </c>
      <c r="X113" s="9" t="s">
        <v>375</v>
      </c>
    </row>
    <row r="114" spans="3:27">
      <c r="C114" s="19"/>
      <c r="D114" s="311" t="s">
        <v>368</v>
      </c>
      <c r="E114" s="311"/>
      <c r="F114" s="311"/>
      <c r="G114" s="19"/>
      <c r="H114" s="19"/>
      <c r="I114" s="19"/>
      <c r="V114" s="9" t="s">
        <v>379</v>
      </c>
      <c r="W114" s="14">
        <f>E39</f>
        <v>0</v>
      </c>
      <c r="X114" s="9" t="s">
        <v>375</v>
      </c>
    </row>
    <row r="115" spans="3:27" ht="38.25">
      <c r="C115" s="235" t="s">
        <v>380</v>
      </c>
      <c r="D115" s="51" t="s">
        <v>370</v>
      </c>
      <c r="E115" s="51" t="s">
        <v>371</v>
      </c>
      <c r="F115" s="51" t="s">
        <v>372</v>
      </c>
      <c r="G115" s="261" t="str">
        <f>"Beregnet utslipp over "&amp;'Generelt om prosjektet'!C29&amp;" år"</f>
        <v>Beregnet utslipp over  år</v>
      </c>
      <c r="H115" s="151" t="s">
        <v>172</v>
      </c>
      <c r="I115" s="19"/>
      <c r="V115" s="9" t="s">
        <v>381</v>
      </c>
      <c r="W115" s="9">
        <f>'Generelt om prosjektet'!C24</f>
        <v>50</v>
      </c>
      <c r="X115" s="9"/>
    </row>
    <row r="116" spans="3:27">
      <c r="C116" s="20" t="s">
        <v>373</v>
      </c>
      <c r="D116" s="262">
        <f>D111</f>
        <v>1.7747665114285747E-2</v>
      </c>
      <c r="E116" s="262">
        <f>Utslippsdata!C84</f>
        <v>6.5088487419817986E-2</v>
      </c>
      <c r="F116" s="20">
        <f>E37</f>
        <v>0</v>
      </c>
      <c r="G116" s="242">
        <f>(($W$111+$W$114)*D116+$W$112*E116+$W$113*F116)*$W$115/1000</f>
        <v>0</v>
      </c>
      <c r="H116" s="20" t="s">
        <v>374</v>
      </c>
      <c r="I116" s="19"/>
    </row>
    <row r="117" spans="3:27">
      <c r="C117" s="441" t="s">
        <v>376</v>
      </c>
      <c r="D117" s="442">
        <f>D112</f>
        <v>0.10462896495714274</v>
      </c>
      <c r="E117" s="442">
        <f>Utslippsdata!C81</f>
        <v>8.9146230660722248E-2</v>
      </c>
      <c r="F117" s="441">
        <f>E37</f>
        <v>0</v>
      </c>
      <c r="G117" s="443">
        <f>(($W$111+$W$114)*D117+$W$112*E117+$W$113*F117)*$W$115/1000</f>
        <v>0</v>
      </c>
      <c r="H117" s="441" t="s">
        <v>374</v>
      </c>
      <c r="I117" s="19"/>
    </row>
    <row r="118" spans="3:27">
      <c r="C118" s="19"/>
      <c r="D118" s="19"/>
      <c r="E118" s="19"/>
      <c r="F118" s="19"/>
      <c r="G118" s="19"/>
      <c r="H118" s="19"/>
      <c r="I118" s="19"/>
    </row>
    <row r="119" spans="3:27">
      <c r="C119" s="19"/>
      <c r="D119" s="19"/>
      <c r="E119" s="19"/>
      <c r="F119" s="19"/>
      <c r="G119" s="19"/>
      <c r="H119" s="19"/>
      <c r="I119" s="19"/>
    </row>
    <row r="122" spans="3:27" ht="15" customHeight="1"/>
    <row r="123" spans="3:27" ht="15" customHeight="1"/>
    <row r="124" spans="3:27" ht="15" customHeight="1"/>
    <row r="125" spans="3:27">
      <c r="AA125" s="9" t="s">
        <v>277</v>
      </c>
    </row>
    <row r="126" spans="3:27">
      <c r="AA126" s="9" t="s">
        <v>269</v>
      </c>
    </row>
    <row r="127" spans="3:27" ht="27">
      <c r="C127" s="1" t="s">
        <v>439</v>
      </c>
      <c r="D127" s="12"/>
    </row>
    <row r="128" spans="3:27" ht="15" customHeight="1">
      <c r="C128" s="132" t="s">
        <v>384</v>
      </c>
      <c r="D128" s="147" t="s">
        <v>269</v>
      </c>
    </row>
    <row r="130" spans="3:50" ht="15.75" thickBot="1">
      <c r="C130" s="5" t="s">
        <v>385</v>
      </c>
    </row>
    <row r="131" spans="3:50" ht="128.25">
      <c r="C131" s="263" t="s">
        <v>386</v>
      </c>
      <c r="D131" s="264" t="s">
        <v>347</v>
      </c>
      <c r="E131" s="264" t="s">
        <v>387</v>
      </c>
      <c r="F131" s="264" t="s">
        <v>388</v>
      </c>
      <c r="G131" s="264" t="s">
        <v>177</v>
      </c>
      <c r="H131" s="264" t="s">
        <v>354</v>
      </c>
      <c r="I131" s="264" t="s">
        <v>355</v>
      </c>
      <c r="J131" s="264" t="s">
        <v>356</v>
      </c>
      <c r="K131" s="264" t="s">
        <v>357</v>
      </c>
      <c r="L131" s="264" t="s">
        <v>361</v>
      </c>
      <c r="M131" s="264" t="s">
        <v>635</v>
      </c>
      <c r="N131" s="264" t="s">
        <v>389</v>
      </c>
      <c r="O131" s="264" t="s">
        <v>366</v>
      </c>
      <c r="P131" s="264" t="s">
        <v>180</v>
      </c>
      <c r="Q131" s="264" t="s">
        <v>390</v>
      </c>
      <c r="R131" s="148" t="s">
        <v>391</v>
      </c>
      <c r="S131" s="148" t="s">
        <v>391</v>
      </c>
      <c r="T131" s="148" t="s">
        <v>391</v>
      </c>
      <c r="U131" s="265"/>
      <c r="AK131" s="266">
        <v>1</v>
      </c>
      <c r="AL131" s="267">
        <v>2</v>
      </c>
      <c r="AM131" s="267">
        <v>3</v>
      </c>
      <c r="AN131" s="267">
        <v>4</v>
      </c>
      <c r="AO131" s="267">
        <v>5</v>
      </c>
      <c r="AP131" s="267">
        <v>6</v>
      </c>
      <c r="AQ131" s="267">
        <v>7</v>
      </c>
      <c r="AR131" s="267">
        <v>8</v>
      </c>
      <c r="AS131" s="267">
        <v>9</v>
      </c>
      <c r="AT131" s="267">
        <v>10</v>
      </c>
      <c r="AU131" s="267">
        <v>11</v>
      </c>
      <c r="AV131" s="267">
        <v>12</v>
      </c>
      <c r="AW131" s="267">
        <v>13</v>
      </c>
      <c r="AX131" s="45"/>
    </row>
    <row r="132" spans="3:50">
      <c r="C132" s="9" t="s">
        <v>392</v>
      </c>
      <c r="D132" s="145"/>
      <c r="E132" s="145"/>
      <c r="F132" s="145"/>
      <c r="G132" s="145"/>
      <c r="H132" s="145"/>
      <c r="I132" s="145"/>
      <c r="J132" s="145"/>
      <c r="K132" s="145"/>
      <c r="L132" s="145"/>
      <c r="M132" s="145"/>
      <c r="N132" s="145"/>
      <c r="O132" s="145"/>
      <c r="P132" s="145"/>
      <c r="Q132" s="145"/>
      <c r="R132" s="145"/>
      <c r="S132" s="145"/>
      <c r="T132" s="145"/>
      <c r="U132" s="265"/>
      <c r="AK132" s="46" t="s">
        <v>393</v>
      </c>
      <c r="AL132" s="2" t="s">
        <v>394</v>
      </c>
      <c r="AM132" s="2" t="s">
        <v>165</v>
      </c>
      <c r="AN132" s="2" t="s">
        <v>4</v>
      </c>
      <c r="AO132" s="2" t="s">
        <v>172</v>
      </c>
      <c r="AW132" s="2" t="s">
        <v>395</v>
      </c>
      <c r="AX132" s="47"/>
    </row>
    <row r="133" spans="3:50" ht="15">
      <c r="C133" s="9" t="s">
        <v>396</v>
      </c>
      <c r="D133" s="145"/>
      <c r="E133" s="145"/>
      <c r="F133" s="145"/>
      <c r="G133" s="145"/>
      <c r="H133" s="145"/>
      <c r="I133" s="145"/>
      <c r="J133" s="145"/>
      <c r="K133" s="145"/>
      <c r="L133" s="145"/>
      <c r="M133" s="145"/>
      <c r="N133" s="145"/>
      <c r="O133" s="145"/>
      <c r="P133" s="145"/>
      <c r="Q133" s="145"/>
      <c r="R133" s="145"/>
      <c r="S133" s="145"/>
      <c r="T133" s="145"/>
      <c r="U133" s="265"/>
      <c r="AK133" s="268" t="s">
        <v>188</v>
      </c>
      <c r="AL133" s="9"/>
      <c r="AM133" s="9"/>
      <c r="AN133" s="9"/>
      <c r="AW133" s="5" t="s">
        <v>397</v>
      </c>
      <c r="AX133" s="47"/>
    </row>
    <row r="134" spans="3:50">
      <c r="C134" s="9" t="s">
        <v>398</v>
      </c>
      <c r="D134" s="146"/>
      <c r="E134" s="146"/>
      <c r="F134" s="146"/>
      <c r="G134" s="146"/>
      <c r="H134" s="146"/>
      <c r="I134" s="146"/>
      <c r="J134" s="146"/>
      <c r="K134" s="146"/>
      <c r="L134" s="146"/>
      <c r="M134" s="146"/>
      <c r="N134" s="146"/>
      <c r="O134" s="146"/>
      <c r="P134" s="146"/>
      <c r="Q134" s="146"/>
      <c r="R134" s="146"/>
      <c r="S134" s="146"/>
      <c r="T134" s="146"/>
      <c r="AK134" s="268" t="s">
        <v>183</v>
      </c>
      <c r="AL134" s="9" t="s">
        <v>183</v>
      </c>
      <c r="AM134" s="9" t="s">
        <v>399</v>
      </c>
      <c r="AN134" s="9" t="s">
        <v>216</v>
      </c>
      <c r="AO134" s="269" t="s">
        <v>309</v>
      </c>
      <c r="AW134" s="9" t="s">
        <v>183</v>
      </c>
      <c r="AX134" s="47"/>
    </row>
    <row r="135" spans="3:50">
      <c r="C135" s="9" t="s">
        <v>400</v>
      </c>
      <c r="D135" s="146"/>
      <c r="E135" s="146"/>
      <c r="F135" s="146"/>
      <c r="G135" s="146"/>
      <c r="H135" s="146"/>
      <c r="I135" s="146"/>
      <c r="J135" s="146"/>
      <c r="K135" s="146"/>
      <c r="L135" s="146"/>
      <c r="M135" s="146"/>
      <c r="N135" s="146"/>
      <c r="O135" s="146"/>
      <c r="P135" s="146"/>
      <c r="Q135" s="146"/>
      <c r="R135" s="146"/>
      <c r="S135" s="146"/>
      <c r="T135" s="146"/>
      <c r="AK135" s="268" t="s">
        <v>185</v>
      </c>
      <c r="AL135" s="9" t="s">
        <v>185</v>
      </c>
      <c r="AM135" s="9" t="s">
        <v>401</v>
      </c>
      <c r="AN135" s="9" t="s">
        <v>220</v>
      </c>
      <c r="AO135" s="269" t="s">
        <v>309</v>
      </c>
      <c r="AR135" s="6" t="s">
        <v>402</v>
      </c>
      <c r="AW135" s="9" t="s">
        <v>185</v>
      </c>
      <c r="AX135" s="47"/>
    </row>
    <row r="136" spans="3:50">
      <c r="C136" s="9" t="s">
        <v>403</v>
      </c>
      <c r="D136" s="146"/>
      <c r="E136" s="146"/>
      <c r="F136" s="146"/>
      <c r="G136" s="146"/>
      <c r="H136" s="146"/>
      <c r="I136" s="146"/>
      <c r="J136" s="146"/>
      <c r="K136" s="146"/>
      <c r="L136" s="146"/>
      <c r="M136" s="146"/>
      <c r="N136" s="146"/>
      <c r="O136" s="146"/>
      <c r="P136" s="146"/>
      <c r="Q136" s="146"/>
      <c r="R136" s="146"/>
      <c r="S136" s="146"/>
      <c r="T136" s="146"/>
      <c r="AK136" s="268" t="s">
        <v>262</v>
      </c>
      <c r="AL136" s="9" t="s">
        <v>262</v>
      </c>
      <c r="AM136" s="9" t="s">
        <v>404</v>
      </c>
      <c r="AN136" s="9" t="s">
        <v>224</v>
      </c>
      <c r="AO136" s="269" t="s">
        <v>309</v>
      </c>
      <c r="AW136" s="9" t="s">
        <v>262</v>
      </c>
      <c r="AX136" s="47"/>
    </row>
    <row r="137" spans="3:50">
      <c r="C137" s="9" t="s">
        <v>405</v>
      </c>
      <c r="D137" s="146"/>
      <c r="E137" s="146"/>
      <c r="F137" s="146"/>
      <c r="G137" s="146"/>
      <c r="H137" s="146"/>
      <c r="I137" s="146"/>
      <c r="J137" s="146"/>
      <c r="K137" s="146"/>
      <c r="L137" s="146"/>
      <c r="M137" s="146"/>
      <c r="N137" s="146"/>
      <c r="O137" s="146"/>
      <c r="P137" s="146"/>
      <c r="Q137" s="146"/>
      <c r="R137" s="146"/>
      <c r="S137" s="146"/>
      <c r="T137" s="146"/>
      <c r="AK137" s="268" t="s">
        <v>279</v>
      </c>
      <c r="AL137" s="9" t="s">
        <v>279</v>
      </c>
      <c r="AM137" s="9" t="s">
        <v>406</v>
      </c>
      <c r="AN137" s="9" t="s">
        <v>230</v>
      </c>
      <c r="AO137" s="269"/>
      <c r="AQ137" s="2" t="s">
        <v>407</v>
      </c>
      <c r="AR137" s="2" t="s">
        <v>408</v>
      </c>
      <c r="AS137" s="2" t="s">
        <v>408</v>
      </c>
      <c r="AW137" s="9" t="s">
        <v>279</v>
      </c>
      <c r="AX137" s="47"/>
    </row>
    <row r="138" spans="3:50">
      <c r="C138" s="9" t="s">
        <v>409</v>
      </c>
      <c r="D138" s="146"/>
      <c r="E138" s="146"/>
      <c r="F138" s="146"/>
      <c r="G138" s="146"/>
      <c r="H138" s="146"/>
      <c r="I138" s="146"/>
      <c r="J138" s="146"/>
      <c r="K138" s="146"/>
      <c r="L138" s="146"/>
      <c r="M138" s="146"/>
      <c r="N138" s="146"/>
      <c r="O138" s="146"/>
      <c r="P138" s="146"/>
      <c r="Q138" s="146"/>
      <c r="R138" s="146"/>
      <c r="S138" s="146"/>
      <c r="T138" s="146"/>
      <c r="AK138" s="268" t="s">
        <v>267</v>
      </c>
      <c r="AL138" s="9" t="s">
        <v>267</v>
      </c>
      <c r="AM138" s="9" t="s">
        <v>410</v>
      </c>
      <c r="AN138" s="9" t="s">
        <v>241</v>
      </c>
      <c r="AO138" s="269" t="s">
        <v>309</v>
      </c>
      <c r="AW138" s="9" t="s">
        <v>267</v>
      </c>
      <c r="AX138" s="47"/>
    </row>
    <row r="139" spans="3:50">
      <c r="C139" s="9" t="s">
        <v>411</v>
      </c>
      <c r="D139" s="146"/>
      <c r="E139" s="146"/>
      <c r="F139" s="146"/>
      <c r="G139" s="146"/>
      <c r="H139" s="146"/>
      <c r="I139" s="146"/>
      <c r="J139" s="146"/>
      <c r="K139" s="146"/>
      <c r="L139" s="146"/>
      <c r="M139" s="146"/>
      <c r="N139" s="146"/>
      <c r="O139" s="146"/>
      <c r="P139" s="146"/>
      <c r="Q139" s="146"/>
      <c r="R139" s="146"/>
      <c r="S139" s="146"/>
      <c r="T139" s="146"/>
      <c r="AK139" s="268" t="s">
        <v>243</v>
      </c>
      <c r="AL139" s="9" t="s">
        <v>412</v>
      </c>
      <c r="AM139" s="9" t="s">
        <v>413</v>
      </c>
      <c r="AN139" s="9" t="s">
        <v>248</v>
      </c>
      <c r="AO139" s="269" t="s">
        <v>309</v>
      </c>
      <c r="AW139" s="9" t="s">
        <v>412</v>
      </c>
      <c r="AX139" s="47"/>
    </row>
    <row r="140" spans="3:50">
      <c r="C140" s="147" t="s">
        <v>391</v>
      </c>
      <c r="D140" s="146"/>
      <c r="E140" s="146"/>
      <c r="F140" s="146"/>
      <c r="G140" s="146"/>
      <c r="H140" s="146"/>
      <c r="I140" s="146"/>
      <c r="J140" s="146"/>
      <c r="K140" s="146"/>
      <c r="L140" s="146"/>
      <c r="M140" s="146"/>
      <c r="N140" s="146"/>
      <c r="O140" s="146"/>
      <c r="P140" s="146"/>
      <c r="Q140" s="146"/>
      <c r="R140" s="146"/>
      <c r="S140" s="146"/>
      <c r="T140" s="146"/>
      <c r="AK140" s="268" t="s">
        <v>254</v>
      </c>
      <c r="AL140" s="9"/>
      <c r="AM140" s="9" t="s">
        <v>414</v>
      </c>
      <c r="AN140" s="9" t="s">
        <v>252</v>
      </c>
      <c r="AO140" s="269" t="s">
        <v>309</v>
      </c>
      <c r="AW140" s="270" t="s">
        <v>185</v>
      </c>
      <c r="AX140" s="47"/>
    </row>
    <row r="141" spans="3:50">
      <c r="C141" s="147" t="s">
        <v>391</v>
      </c>
      <c r="D141" s="146"/>
      <c r="E141" s="146"/>
      <c r="F141" s="146"/>
      <c r="G141" s="146"/>
      <c r="H141" s="146"/>
      <c r="I141" s="146"/>
      <c r="J141" s="146"/>
      <c r="K141" s="146"/>
      <c r="L141" s="146"/>
      <c r="M141" s="146"/>
      <c r="N141" s="146"/>
      <c r="O141" s="146"/>
      <c r="P141" s="146"/>
      <c r="Q141" s="146"/>
      <c r="R141" s="146"/>
      <c r="S141" s="146"/>
      <c r="T141" s="146"/>
      <c r="AK141" s="268" t="s">
        <v>280</v>
      </c>
      <c r="AL141" s="9"/>
      <c r="AM141" s="9" t="s">
        <v>415</v>
      </c>
      <c r="AN141" s="9" t="s">
        <v>257</v>
      </c>
      <c r="AO141" s="269" t="s">
        <v>309</v>
      </c>
      <c r="AX141" s="47"/>
    </row>
    <row r="142" spans="3:50">
      <c r="C142" s="147" t="s">
        <v>391</v>
      </c>
      <c r="D142" s="146"/>
      <c r="E142" s="146"/>
      <c r="F142" s="146"/>
      <c r="G142" s="146"/>
      <c r="H142" s="146"/>
      <c r="I142" s="146"/>
      <c r="J142" s="146"/>
      <c r="K142" s="146"/>
      <c r="L142" s="146"/>
      <c r="M142" s="146"/>
      <c r="N142" s="146"/>
      <c r="O142" s="146"/>
      <c r="P142" s="146"/>
      <c r="Q142" s="146"/>
      <c r="R142" s="146"/>
      <c r="S142" s="146"/>
      <c r="T142" s="146"/>
      <c r="AK142" s="268" t="s">
        <v>272</v>
      </c>
      <c r="AL142" s="9"/>
      <c r="AM142" s="9" t="s">
        <v>416</v>
      </c>
      <c r="AN142" s="9" t="s">
        <v>260</v>
      </c>
      <c r="AO142" s="269" t="s">
        <v>309</v>
      </c>
      <c r="AW142" s="9" t="s">
        <v>185</v>
      </c>
      <c r="AX142" s="47"/>
    </row>
    <row r="143" spans="3:50" ht="15">
      <c r="C143" s="271" t="s">
        <v>417</v>
      </c>
      <c r="D143" s="271">
        <f t="shared" ref="D143:T143" si="22">SUM(D132:D142)</f>
        <v>0</v>
      </c>
      <c r="E143" s="271">
        <f t="shared" si="22"/>
        <v>0</v>
      </c>
      <c r="F143" s="271">
        <f t="shared" si="22"/>
        <v>0</v>
      </c>
      <c r="G143" s="271">
        <f t="shared" si="22"/>
        <v>0</v>
      </c>
      <c r="H143" s="271">
        <f t="shared" si="22"/>
        <v>0</v>
      </c>
      <c r="I143" s="271">
        <f t="shared" si="22"/>
        <v>0</v>
      </c>
      <c r="J143" s="271">
        <f t="shared" si="22"/>
        <v>0</v>
      </c>
      <c r="K143" s="271">
        <f t="shared" si="22"/>
        <v>0</v>
      </c>
      <c r="L143" s="271">
        <f t="shared" si="22"/>
        <v>0</v>
      </c>
      <c r="M143" s="271">
        <f t="shared" si="22"/>
        <v>0</v>
      </c>
      <c r="N143" s="271">
        <f t="shared" si="22"/>
        <v>0</v>
      </c>
      <c r="O143" s="271">
        <f t="shared" si="22"/>
        <v>0</v>
      </c>
      <c r="P143" s="271">
        <f t="shared" si="22"/>
        <v>0</v>
      </c>
      <c r="Q143" s="271">
        <f t="shared" si="22"/>
        <v>0</v>
      </c>
      <c r="R143" s="271">
        <f t="shared" si="22"/>
        <v>0</v>
      </c>
      <c r="S143" s="271">
        <f t="shared" si="22"/>
        <v>0</v>
      </c>
      <c r="T143" s="271">
        <f t="shared" si="22"/>
        <v>0</v>
      </c>
      <c r="AK143" s="268" t="s">
        <v>276</v>
      </c>
      <c r="AL143" s="9" t="s">
        <v>418</v>
      </c>
      <c r="AM143" s="9" t="s">
        <v>419</v>
      </c>
      <c r="AN143" s="9" t="s">
        <v>230</v>
      </c>
      <c r="AO143" s="269"/>
      <c r="AQ143" s="2" t="s">
        <v>407</v>
      </c>
      <c r="AR143" s="2" t="s">
        <v>408</v>
      </c>
      <c r="AW143" s="9" t="s">
        <v>418</v>
      </c>
      <c r="AX143" s="47"/>
    </row>
    <row r="144" spans="3:50">
      <c r="I144" s="6"/>
      <c r="AK144" s="268" t="s">
        <v>286</v>
      </c>
      <c r="AL144" s="9" t="s">
        <v>418</v>
      </c>
      <c r="AM144" s="9" t="s">
        <v>420</v>
      </c>
      <c r="AN144" s="9" t="s">
        <v>230</v>
      </c>
      <c r="AO144" s="269"/>
      <c r="AQ144" s="2" t="s">
        <v>407</v>
      </c>
      <c r="AR144" s="2" t="s">
        <v>408</v>
      </c>
      <c r="AW144" s="9" t="s">
        <v>418</v>
      </c>
      <c r="AX144" s="47"/>
    </row>
    <row r="145" spans="3:50">
      <c r="AK145" s="268" t="s">
        <v>421</v>
      </c>
      <c r="AL145" s="9"/>
      <c r="AM145" s="9" t="s">
        <v>422</v>
      </c>
      <c r="AN145" s="9" t="s">
        <v>230</v>
      </c>
      <c r="AO145" s="269"/>
      <c r="AQ145" s="2" t="s">
        <v>407</v>
      </c>
      <c r="AR145" s="2" t="s">
        <v>408</v>
      </c>
      <c r="AW145" s="2" t="s">
        <v>423</v>
      </c>
      <c r="AX145" s="47"/>
    </row>
    <row r="146" spans="3:50" ht="15">
      <c r="C146" s="5" t="s">
        <v>424</v>
      </c>
      <c r="AK146" s="46"/>
      <c r="AX146" s="47"/>
    </row>
    <row r="147" spans="3:50" ht="128.25">
      <c r="C147" s="11" t="s">
        <v>386</v>
      </c>
      <c r="D147" s="264" t="s">
        <v>347</v>
      </c>
      <c r="E147" s="264" t="s">
        <v>387</v>
      </c>
      <c r="F147" s="264" t="s">
        <v>388</v>
      </c>
      <c r="G147" s="264" t="s">
        <v>177</v>
      </c>
      <c r="H147" s="264" t="s">
        <v>354</v>
      </c>
      <c r="I147" s="264" t="s">
        <v>355</v>
      </c>
      <c r="J147" s="264" t="s">
        <v>356</v>
      </c>
      <c r="K147" s="264" t="s">
        <v>357</v>
      </c>
      <c r="L147" s="264" t="s">
        <v>361</v>
      </c>
      <c r="M147" s="264" t="s">
        <v>635</v>
      </c>
      <c r="N147" s="264" t="s">
        <v>389</v>
      </c>
      <c r="O147" s="264" t="s">
        <v>366</v>
      </c>
      <c r="P147" s="264" t="s">
        <v>180</v>
      </c>
      <c r="Q147" s="264" t="s">
        <v>390</v>
      </c>
      <c r="R147" s="148" t="s">
        <v>391</v>
      </c>
      <c r="S147" s="148" t="s">
        <v>391</v>
      </c>
      <c r="T147" s="148" t="s">
        <v>391</v>
      </c>
      <c r="AK147" s="46" t="str">
        <f>AK133</f>
        <v>Velg arealtype</v>
      </c>
      <c r="AX147" s="47"/>
    </row>
    <row r="148" spans="3:50">
      <c r="C148" s="9" t="s">
        <v>392</v>
      </c>
      <c r="D148" s="145"/>
      <c r="E148" s="145"/>
      <c r="F148" s="145"/>
      <c r="G148" s="145"/>
      <c r="H148" s="145"/>
      <c r="I148" s="145"/>
      <c r="J148" s="145"/>
      <c r="K148" s="145"/>
      <c r="L148" s="145"/>
      <c r="M148" s="145"/>
      <c r="N148" s="145"/>
      <c r="O148" s="145"/>
      <c r="P148" s="145"/>
      <c r="Q148" s="145"/>
      <c r="R148" s="145"/>
      <c r="S148" s="145"/>
      <c r="T148" s="145"/>
      <c r="AK148" s="268" t="s">
        <v>150</v>
      </c>
      <c r="AL148" s="9" t="s">
        <v>425</v>
      </c>
      <c r="AM148" s="9" t="s">
        <v>426</v>
      </c>
      <c r="AN148" s="9" t="s">
        <v>230</v>
      </c>
      <c r="AO148" s="269"/>
      <c r="AQ148" s="2" t="s">
        <v>407</v>
      </c>
      <c r="AR148" s="2" t="s">
        <v>408</v>
      </c>
      <c r="AW148" s="9" t="s">
        <v>425</v>
      </c>
      <c r="AX148" s="47"/>
    </row>
    <row r="149" spans="3:50">
      <c r="C149" s="9" t="s">
        <v>396</v>
      </c>
      <c r="D149" s="145"/>
      <c r="E149" s="145"/>
      <c r="F149" s="145"/>
      <c r="G149" s="145"/>
      <c r="H149" s="145"/>
      <c r="I149" s="145"/>
      <c r="J149" s="145"/>
      <c r="K149" s="145"/>
      <c r="L149" s="145"/>
      <c r="M149" s="145"/>
      <c r="N149" s="145"/>
      <c r="O149" s="145"/>
      <c r="P149" s="145"/>
      <c r="Q149" s="145"/>
      <c r="R149" s="145"/>
      <c r="S149" s="145"/>
      <c r="T149" s="145"/>
      <c r="AK149" s="268" t="s">
        <v>148</v>
      </c>
      <c r="AL149" s="9" t="s">
        <v>427</v>
      </c>
      <c r="AM149" s="9" t="s">
        <v>428</v>
      </c>
      <c r="AN149" s="9" t="s">
        <v>266</v>
      </c>
      <c r="AO149" s="269" t="s">
        <v>309</v>
      </c>
      <c r="AW149" s="9" t="s">
        <v>427</v>
      </c>
      <c r="AX149" s="47"/>
    </row>
    <row r="150" spans="3:50">
      <c r="C150" s="9" t="s">
        <v>398</v>
      </c>
      <c r="D150" s="146"/>
      <c r="E150" s="146"/>
      <c r="F150" s="146"/>
      <c r="G150" s="146"/>
      <c r="H150" s="146"/>
      <c r="I150" s="146"/>
      <c r="J150" s="146"/>
      <c r="K150" s="146"/>
      <c r="L150" s="146"/>
      <c r="M150" s="146"/>
      <c r="N150" s="146"/>
      <c r="O150" s="146"/>
      <c r="P150" s="146"/>
      <c r="Q150" s="146"/>
      <c r="R150" s="146"/>
      <c r="S150" s="146"/>
      <c r="T150" s="146"/>
      <c r="AK150" s="268"/>
      <c r="AL150" s="9"/>
      <c r="AM150" s="9"/>
      <c r="AN150" s="9"/>
      <c r="AX150" s="47"/>
    </row>
    <row r="151" spans="3:50" ht="15" thickBot="1">
      <c r="C151" s="9" t="s">
        <v>400</v>
      </c>
      <c r="D151" s="146"/>
      <c r="E151" s="146"/>
      <c r="F151" s="146"/>
      <c r="G151" s="146"/>
      <c r="H151" s="146"/>
      <c r="I151" s="146"/>
      <c r="J151" s="146"/>
      <c r="K151" s="146"/>
      <c r="L151" s="146"/>
      <c r="M151" s="146"/>
      <c r="N151" s="146"/>
      <c r="O151" s="146"/>
      <c r="P151" s="146"/>
      <c r="Q151" s="146"/>
      <c r="R151" s="146"/>
      <c r="S151" s="146"/>
      <c r="T151" s="146"/>
      <c r="AK151" s="272" t="s">
        <v>429</v>
      </c>
      <c r="AL151" s="273"/>
      <c r="AM151" s="273"/>
      <c r="AN151" s="273"/>
      <c r="AO151" s="49"/>
      <c r="AP151" s="49"/>
      <c r="AQ151" s="49"/>
      <c r="AR151" s="49"/>
      <c r="AS151" s="49"/>
      <c r="AT151" s="49"/>
      <c r="AU151" s="49"/>
      <c r="AV151" s="49"/>
      <c r="AW151" s="49"/>
      <c r="AX151" s="50"/>
    </row>
    <row r="152" spans="3:50">
      <c r="C152" s="9" t="s">
        <v>403</v>
      </c>
      <c r="D152" s="146"/>
      <c r="E152" s="146"/>
      <c r="F152" s="146"/>
      <c r="G152" s="146"/>
      <c r="H152" s="146"/>
      <c r="I152" s="146"/>
      <c r="J152" s="146"/>
      <c r="K152" s="146"/>
      <c r="L152" s="146"/>
      <c r="M152" s="146"/>
      <c r="N152" s="146"/>
      <c r="O152" s="146"/>
      <c r="P152" s="146"/>
      <c r="Q152" s="146"/>
      <c r="R152" s="146"/>
      <c r="S152" s="146"/>
      <c r="T152" s="146"/>
    </row>
    <row r="153" spans="3:50">
      <c r="C153" s="9" t="s">
        <v>405</v>
      </c>
      <c r="D153" s="146"/>
      <c r="E153" s="146"/>
      <c r="F153" s="146"/>
      <c r="G153" s="146"/>
      <c r="H153" s="146"/>
      <c r="I153" s="146"/>
      <c r="J153" s="146"/>
      <c r="K153" s="146"/>
      <c r="L153" s="146"/>
      <c r="M153" s="146"/>
      <c r="N153" s="146"/>
      <c r="O153" s="146"/>
      <c r="P153" s="146"/>
      <c r="Q153" s="146"/>
      <c r="R153" s="146"/>
      <c r="S153" s="146"/>
      <c r="T153" s="146"/>
    </row>
    <row r="154" spans="3:50">
      <c r="C154" s="9" t="s">
        <v>409</v>
      </c>
      <c r="D154" s="146"/>
      <c r="E154" s="146"/>
      <c r="F154" s="146"/>
      <c r="G154" s="146"/>
      <c r="H154" s="146"/>
      <c r="I154" s="146"/>
      <c r="J154" s="146"/>
      <c r="K154" s="146"/>
      <c r="L154" s="146"/>
      <c r="M154" s="146"/>
      <c r="N154" s="146"/>
      <c r="O154" s="146"/>
      <c r="P154" s="146"/>
      <c r="Q154" s="146"/>
      <c r="R154" s="146"/>
      <c r="S154" s="146"/>
      <c r="T154" s="146"/>
    </row>
    <row r="155" spans="3:50">
      <c r="C155" s="9" t="s">
        <v>411</v>
      </c>
      <c r="D155" s="146"/>
      <c r="E155" s="146"/>
      <c r="F155" s="146"/>
      <c r="G155" s="146"/>
      <c r="H155" s="146"/>
      <c r="I155" s="146"/>
      <c r="J155" s="146"/>
      <c r="K155" s="146"/>
      <c r="L155" s="146"/>
      <c r="M155" s="146"/>
      <c r="N155" s="146"/>
      <c r="O155" s="146"/>
      <c r="P155" s="146"/>
      <c r="Q155" s="146"/>
      <c r="R155" s="146"/>
      <c r="S155" s="146"/>
      <c r="T155" s="146"/>
    </row>
    <row r="156" spans="3:50">
      <c r="C156" s="147" t="s">
        <v>391</v>
      </c>
      <c r="D156" s="146"/>
      <c r="E156" s="146"/>
      <c r="F156" s="146"/>
      <c r="G156" s="146"/>
      <c r="H156" s="146"/>
      <c r="I156" s="146"/>
      <c r="J156" s="146"/>
      <c r="K156" s="146"/>
      <c r="L156" s="146"/>
      <c r="M156" s="146"/>
      <c r="N156" s="146"/>
      <c r="O156" s="146"/>
      <c r="P156" s="146"/>
      <c r="Q156" s="146"/>
      <c r="R156" s="146"/>
      <c r="S156" s="146"/>
      <c r="T156" s="146"/>
    </row>
    <row r="157" spans="3:50">
      <c r="C157" s="147" t="s">
        <v>391</v>
      </c>
      <c r="D157" s="146"/>
      <c r="E157" s="146"/>
      <c r="F157" s="146"/>
      <c r="G157" s="146"/>
      <c r="H157" s="146"/>
      <c r="I157" s="146"/>
      <c r="J157" s="146"/>
      <c r="K157" s="146"/>
      <c r="L157" s="146"/>
      <c r="M157" s="146"/>
      <c r="N157" s="146"/>
      <c r="O157" s="146"/>
      <c r="P157" s="146"/>
      <c r="Q157" s="146"/>
      <c r="R157" s="146"/>
      <c r="S157" s="146"/>
      <c r="T157" s="146"/>
    </row>
    <row r="158" spans="3:50">
      <c r="C158" s="147" t="s">
        <v>391</v>
      </c>
      <c r="D158" s="146"/>
      <c r="E158" s="146"/>
      <c r="F158" s="146"/>
      <c r="G158" s="146"/>
      <c r="H158" s="146"/>
      <c r="I158" s="146"/>
      <c r="J158" s="146"/>
      <c r="K158" s="146"/>
      <c r="L158" s="146"/>
      <c r="M158" s="146"/>
      <c r="N158" s="146"/>
      <c r="O158" s="146"/>
      <c r="P158" s="146"/>
      <c r="Q158" s="146"/>
      <c r="R158" s="146"/>
      <c r="S158" s="146"/>
      <c r="T158" s="146"/>
    </row>
    <row r="159" spans="3:50" ht="15">
      <c r="C159" s="271" t="s">
        <v>417</v>
      </c>
      <c r="D159" s="271">
        <f t="shared" ref="D159:T159" si="23">SUM(D148:D158)</f>
        <v>0</v>
      </c>
      <c r="E159" s="271">
        <f t="shared" si="23"/>
        <v>0</v>
      </c>
      <c r="F159" s="271">
        <f t="shared" si="23"/>
        <v>0</v>
      </c>
      <c r="G159" s="271">
        <f t="shared" si="23"/>
        <v>0</v>
      </c>
      <c r="H159" s="271">
        <f t="shared" si="23"/>
        <v>0</v>
      </c>
      <c r="I159" s="271">
        <f t="shared" si="23"/>
        <v>0</v>
      </c>
      <c r="J159" s="271">
        <f t="shared" si="23"/>
        <v>0</v>
      </c>
      <c r="K159" s="271">
        <f t="shared" si="23"/>
        <v>0</v>
      </c>
      <c r="L159" s="271">
        <f t="shared" si="23"/>
        <v>0</v>
      </c>
      <c r="M159" s="271">
        <f t="shared" si="23"/>
        <v>0</v>
      </c>
      <c r="N159" s="271">
        <f t="shared" si="23"/>
        <v>0</v>
      </c>
      <c r="O159" s="271">
        <f t="shared" si="23"/>
        <v>0</v>
      </c>
      <c r="P159" s="271">
        <f t="shared" si="23"/>
        <v>0</v>
      </c>
      <c r="Q159" s="271">
        <f t="shared" si="23"/>
        <v>0</v>
      </c>
      <c r="R159" s="271">
        <f t="shared" si="23"/>
        <v>0</v>
      </c>
      <c r="S159" s="271">
        <f t="shared" si="23"/>
        <v>0</v>
      </c>
      <c r="T159" s="271">
        <f t="shared" si="23"/>
        <v>0</v>
      </c>
    </row>
  </sheetData>
  <sheetProtection algorithmName="SHA-512" hashValue="rYJRhdtZD4r044skN+KOAvF/cBm/TNiCPe26dFbedMZCtKnTy4HBAeYhQyJxdg9v4Uuh2xtWi8QqnN0DaAza0Q==" saltValue="sGpTYKZC8dSosrulz+7/zg==" spinCount="100000" sheet="1" objects="1" scenarios="1"/>
  <mergeCells count="94">
    <mergeCell ref="AN16:BB16"/>
    <mergeCell ref="E17:F17"/>
    <mergeCell ref="G17:H17"/>
    <mergeCell ref="I17:J17"/>
    <mergeCell ref="K17:K18"/>
    <mergeCell ref="L17:N17"/>
    <mergeCell ref="AG17:AK17"/>
    <mergeCell ref="AN17:AR17"/>
    <mergeCell ref="AS17:AW17"/>
    <mergeCell ref="AX17:BB17"/>
    <mergeCell ref="D11:O11"/>
    <mergeCell ref="V1:BB1"/>
    <mergeCell ref="C7:O7"/>
    <mergeCell ref="D8:O8"/>
    <mergeCell ref="D9:O9"/>
    <mergeCell ref="D10:O10"/>
    <mergeCell ref="E26:F26"/>
    <mergeCell ref="G26:H26"/>
    <mergeCell ref="E25:F25"/>
    <mergeCell ref="G25:H25"/>
    <mergeCell ref="I25:J25"/>
    <mergeCell ref="G30:J30"/>
    <mergeCell ref="G31:J31"/>
    <mergeCell ref="G32:J32"/>
    <mergeCell ref="E27:F27"/>
    <mergeCell ref="G27:H27"/>
    <mergeCell ref="I27:J27"/>
    <mergeCell ref="G34:J34"/>
    <mergeCell ref="G35:J35"/>
    <mergeCell ref="D48:D49"/>
    <mergeCell ref="E48:E49"/>
    <mergeCell ref="F48:F49"/>
    <mergeCell ref="G48:G49"/>
    <mergeCell ref="H48:J49"/>
    <mergeCell ref="F57:J57"/>
    <mergeCell ref="AO36:AT36"/>
    <mergeCell ref="G37:J37"/>
    <mergeCell ref="G38:J38"/>
    <mergeCell ref="G39:J39"/>
    <mergeCell ref="F44:J44"/>
    <mergeCell ref="G36:J36"/>
    <mergeCell ref="H50:J50"/>
    <mergeCell ref="H51:J51"/>
    <mergeCell ref="F54:J54"/>
    <mergeCell ref="F55:J55"/>
    <mergeCell ref="F56:J56"/>
    <mergeCell ref="C78:C79"/>
    <mergeCell ref="D78:G78"/>
    <mergeCell ref="H78:H79"/>
    <mergeCell ref="F60:J60"/>
    <mergeCell ref="F61:J61"/>
    <mergeCell ref="F62:J62"/>
    <mergeCell ref="F63:J63"/>
    <mergeCell ref="F64:J64"/>
    <mergeCell ref="F65:J65"/>
    <mergeCell ref="I80:L80"/>
    <mergeCell ref="I81:L81"/>
    <mergeCell ref="I82:L82"/>
    <mergeCell ref="I83:L83"/>
    <mergeCell ref="I84:L84"/>
    <mergeCell ref="V65:Z65"/>
    <mergeCell ref="F66:J66"/>
    <mergeCell ref="G67:J67"/>
    <mergeCell ref="G68:J68"/>
    <mergeCell ref="G69:J69"/>
    <mergeCell ref="I90:L90"/>
    <mergeCell ref="I91:L91"/>
    <mergeCell ref="I92:L92"/>
    <mergeCell ref="D85:F85"/>
    <mergeCell ref="I85:L85"/>
    <mergeCell ref="D114:F114"/>
    <mergeCell ref="C96:C97"/>
    <mergeCell ref="D96:H96"/>
    <mergeCell ref="G97:H97"/>
    <mergeCell ref="D98:E98"/>
    <mergeCell ref="G98:H98"/>
    <mergeCell ref="D99:E99"/>
    <mergeCell ref="G99:H99"/>
    <mergeCell ref="BD15:BO15"/>
    <mergeCell ref="BF17:BJ17"/>
    <mergeCell ref="I99:L99"/>
    <mergeCell ref="C100:L103"/>
    <mergeCell ref="D109:F109"/>
    <mergeCell ref="I98:L98"/>
    <mergeCell ref="I93:L93"/>
    <mergeCell ref="D86:F86"/>
    <mergeCell ref="I86:L86"/>
    <mergeCell ref="D87:F87"/>
    <mergeCell ref="H87:H88"/>
    <mergeCell ref="I87:L87"/>
    <mergeCell ref="D88:F88"/>
    <mergeCell ref="I88:L88"/>
    <mergeCell ref="I89:L89"/>
    <mergeCell ref="D90:F90"/>
  </mergeCells>
  <conditionalFormatting sqref="C44:F44 C43:J43 C45:C46">
    <cfRule type="expression" dxfId="30" priority="26">
      <formula>$V$46=0</formula>
    </cfRule>
  </conditionalFormatting>
  <conditionalFormatting sqref="C29:J30">
    <cfRule type="expression" dxfId="29" priority="33">
      <formula>$V$40=0</formula>
    </cfRule>
  </conditionalFormatting>
  <conditionalFormatting sqref="C130:T159">
    <cfRule type="expression" dxfId="28" priority="3">
      <formula>$D$128=$AA$126</formula>
    </cfRule>
  </conditionalFormatting>
  <conditionalFormatting sqref="D80:D91">
    <cfRule type="expression" dxfId="27" priority="42">
      <formula>$V$29=0</formula>
    </cfRule>
  </conditionalFormatting>
  <conditionalFormatting sqref="D81">
    <cfRule type="expression" dxfId="26" priority="2">
      <formula>$E$25+$E$26=0</formula>
    </cfRule>
  </conditionalFormatting>
  <conditionalFormatting sqref="D92">
    <cfRule type="expression" dxfId="25" priority="5">
      <formula>$D$92=0</formula>
    </cfRule>
    <cfRule type="expression" dxfId="24" priority="46">
      <formula>$E$44&lt;&gt;Nei</formula>
    </cfRule>
  </conditionalFormatting>
  <conditionalFormatting sqref="D85:F88 D90:F90">
    <cfRule type="expression" dxfId="23" priority="9">
      <formula>$V$32&gt;0</formula>
    </cfRule>
  </conditionalFormatting>
  <conditionalFormatting sqref="D86:F86">
    <cfRule type="expression" dxfId="22" priority="8">
      <formula>$D$86=0</formula>
    </cfRule>
  </conditionalFormatting>
  <conditionalFormatting sqref="D87:F87">
    <cfRule type="expression" dxfId="21" priority="7">
      <formula>$D$87=0</formula>
    </cfRule>
  </conditionalFormatting>
  <conditionalFormatting sqref="D88:F88">
    <cfRule type="expression" dxfId="20" priority="6">
      <formula>$D$88=0</formula>
    </cfRule>
  </conditionalFormatting>
  <conditionalFormatting sqref="D90:F90">
    <cfRule type="expression" dxfId="19" priority="1">
      <formula>$D$90=0</formula>
    </cfRule>
  </conditionalFormatting>
  <conditionalFormatting sqref="E37">
    <cfRule type="expression" dxfId="18" priority="10">
      <formula>$E$36=""</formula>
    </cfRule>
    <cfRule type="expression" dxfId="17" priority="11">
      <formula>$E$36=0</formula>
    </cfRule>
  </conditionalFormatting>
  <conditionalFormatting sqref="E80:E84 E89 E91">
    <cfRule type="expression" dxfId="16" priority="43">
      <formula>$W$29=0</formula>
    </cfRule>
  </conditionalFormatting>
  <conditionalFormatting sqref="E25:F26">
    <cfRule type="expression" dxfId="15" priority="36">
      <formula>$V$29=0</formula>
    </cfRule>
    <cfRule type="expression" dxfId="14" priority="37">
      <formula>$V$29&gt;0</formula>
    </cfRule>
  </conditionalFormatting>
  <conditionalFormatting sqref="E19:J24">
    <cfRule type="expression" dxfId="13" priority="24">
      <formula>$W19=0</formula>
    </cfRule>
    <cfRule type="expression" dxfId="12" priority="25">
      <formula>$W19=1</formula>
    </cfRule>
  </conditionalFormatting>
  <conditionalFormatting sqref="F82:F84 F89 F91">
    <cfRule type="expression" dxfId="11" priority="44">
      <formula>$V$30=0</formula>
    </cfRule>
  </conditionalFormatting>
  <conditionalFormatting sqref="F44:J44">
    <cfRule type="expression" dxfId="10" priority="12">
      <formula>$V$46=0</formula>
    </cfRule>
  </conditionalFormatting>
  <conditionalFormatting sqref="G25:H26">
    <cfRule type="expression" dxfId="9" priority="38">
      <formula>$W$29=0</formula>
    </cfRule>
    <cfRule type="expression" dxfId="8" priority="39">
      <formula>$W$29&gt;0</formula>
    </cfRule>
  </conditionalFormatting>
  <conditionalFormatting sqref="G27:H27">
    <cfRule type="expression" dxfId="7" priority="45">
      <formula>$W$29&gt;0</formula>
    </cfRule>
  </conditionalFormatting>
  <conditionalFormatting sqref="H85">
    <cfRule type="iconSet" priority="20">
      <iconSet>
        <cfvo type="percent" val="0"/>
        <cfvo type="percent" val="33"/>
        <cfvo type="percent" val="67"/>
      </iconSet>
    </cfRule>
  </conditionalFormatting>
  <conditionalFormatting sqref="I27:J27">
    <cfRule type="expression" dxfId="6" priority="40">
      <formula>$X$29=0</formula>
    </cfRule>
    <cfRule type="expression" dxfId="5" priority="41">
      <formula>$X$29&gt;0</formula>
    </cfRule>
  </conditionalFormatting>
  <conditionalFormatting sqref="K19:K24">
    <cfRule type="expression" dxfId="4" priority="32">
      <formula>V19=1</formula>
    </cfRule>
  </conditionalFormatting>
  <conditionalFormatting sqref="M19:N24">
    <cfRule type="expression" dxfId="3" priority="28">
      <formula>$X19=0</formula>
    </cfRule>
    <cfRule type="expression" dxfId="2" priority="29">
      <formula>$X19=1</formula>
    </cfRule>
  </conditionalFormatting>
  <conditionalFormatting sqref="N19:N24">
    <cfRule type="expression" dxfId="1" priority="27">
      <formula>$L19&lt;&gt;""</formula>
    </cfRule>
  </conditionalFormatting>
  <conditionalFormatting sqref="AB4:AC4">
    <cfRule type="expression" dxfId="0" priority="4">
      <formula>$Z$11=0</formula>
    </cfRule>
  </conditionalFormatting>
  <dataValidations count="7">
    <dataValidation type="whole" operator="lessThan" allowBlank="1" showInputMessage="1" showErrorMessage="1" error="Oppgi produsert strøm fra solceller som negativt tall" sqref="E39" xr:uid="{81B02B5B-3623-4900-9237-5832B542FDE8}">
      <formula1>1</formula1>
    </dataValidation>
    <dataValidation type="list" allowBlank="1" showInputMessage="1" showErrorMessage="1" sqref="E44" xr:uid="{93AB5B1C-B7C8-4E7D-802D-CBF31A0BB350}">
      <formula1>$AA$45:$AA$47</formula1>
    </dataValidation>
    <dataValidation type="list" allowBlank="1" showInputMessage="1" showErrorMessage="1" sqref="D41" xr:uid="{457639FE-32FC-4951-B390-3ABA87B1F5B9}">
      <formula1>$AA$40:$AA$42</formula1>
    </dataValidation>
    <dataValidation type="list" allowBlank="1" showInputMessage="1" showErrorMessage="1" sqref="G50:G51" xr:uid="{270F788A-F29A-4147-AC42-5230F6C3602E}">
      <formula1>$V$53:$V$56</formula1>
    </dataValidation>
    <dataValidation type="list" allowBlank="1" showInputMessage="1" showErrorMessage="1" sqref="D23:D24" xr:uid="{2E49F653-C3FB-4A1F-ADC9-B4A7A294F1D7}">
      <formula1>$AK$147:$AK$149</formula1>
    </dataValidation>
    <dataValidation type="list" allowBlank="1" showInputMessage="1" showErrorMessage="1" sqref="D19:D22" xr:uid="{7469D427-AB03-4F30-943A-4152350B18F0}">
      <formula1>$AK$133:$AK$145</formula1>
    </dataValidation>
    <dataValidation type="list" allowBlank="1" showInputMessage="1" showErrorMessage="1" sqref="D128" xr:uid="{502AC9F7-6A28-4507-BEA8-B6D65FB923F5}">
      <formula1>$AA$125:$AA$126</formula1>
    </dataValidation>
  </dataValidations>
  <pageMargins left="0.7" right="0.7" top="0.75" bottom="0.75" header="0.3" footer="0.3"/>
  <pageSetup paperSize="9" scale="39" fitToHeight="0" orientation="landscape" verticalDpi="0" r:id="rId1"/>
  <rowBreaks count="2" manualBreakCount="2">
    <brk id="75" max="16383" man="1"/>
    <brk id="126"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23" id="{83E43B82-08C6-46A1-8051-CFD36B0F7D90}">
            <x14:iconSet custom="1">
              <x14:cfvo type="percent">
                <xm:f>0</xm:f>
              </x14:cfvo>
              <x14:cfvo type="num">
                <xm:f>0.09</xm:f>
              </x14:cfvo>
              <x14:cfvo type="num">
                <xm:f>0.11</xm:f>
              </x14:cfvo>
              <x14:cfIcon iconSet="3TrafficLights1" iconId="1"/>
              <x14:cfIcon iconSet="3TrafficLights1" iconId="2"/>
              <x14:cfIcon iconSet="3TrafficLights1" iconId="0"/>
            </x14:iconSet>
          </x14:cfRule>
          <xm:sqref>H80</xm:sqref>
        </x14:conditionalFormatting>
        <x14:conditionalFormatting xmlns:xm="http://schemas.microsoft.com/office/excel/2006/main">
          <x14:cfRule type="iconSet" priority="18" id="{53E9F62B-0BCF-4424-A114-DDEA1EC03460}">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H81</xm:sqref>
        </x14:conditionalFormatting>
        <x14:conditionalFormatting xmlns:xm="http://schemas.microsoft.com/office/excel/2006/main">
          <x14:cfRule type="iconSet" priority="19" id="{357233E2-867A-434E-80B1-1F95FAFAAF9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7" id="{F3CBA300-F157-4909-A1E5-F8CDA130E24F}">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H83</xm:sqref>
        </x14:conditionalFormatting>
        <x14:conditionalFormatting xmlns:xm="http://schemas.microsoft.com/office/excel/2006/main">
          <x14:cfRule type="iconSet" priority="16" id="{9DDED1A2-0744-44F1-8B30-40203D01CB49}">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21" id="{43B10100-9F6A-403E-94DA-354BB7A242AD}">
            <x14:iconSet custom="1">
              <x14:cfvo type="percent">
                <xm:f>0</xm:f>
              </x14:cfvo>
              <x14:cfvo type="num">
                <xm:f>0.9</xm:f>
              </x14:cfvo>
              <x14:cfvo type="num">
                <xm:f>1.1000000000000001</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22" id="{3FAC7115-540B-4FC7-99B6-1A3CBDAB608A}">
            <x14:iconSet custom="1">
              <x14:cfvo type="percent">
                <xm:f>0</xm:f>
              </x14:cfvo>
              <x14:cfvo type="num">
                <xm:f>0</xm:f>
              </x14:cfvo>
              <x14:cfvo type="num" gte="0">
                <xm:f>0</xm:f>
              </x14:cfvo>
              <x14:cfIcon iconSet="3TrafficLights1" iconId="2"/>
              <x14:cfIcon iconSet="3TrafficLights1" iconId="1"/>
              <x14:cfIcon iconSet="3TrafficLights1" iconId="0"/>
            </x14:iconSet>
          </x14:cfRule>
          <xm:sqref>H87</xm:sqref>
        </x14:conditionalFormatting>
        <x14:conditionalFormatting xmlns:xm="http://schemas.microsoft.com/office/excel/2006/main">
          <x14:cfRule type="iconSet" priority="15" id="{7911F1B4-4248-47BA-AF42-637C255C4D81}">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H89</xm:sqref>
        </x14:conditionalFormatting>
        <x14:conditionalFormatting xmlns:xm="http://schemas.microsoft.com/office/excel/2006/main">
          <x14:cfRule type="iconSet" priority="14" id="{47F4AAD1-AA99-4E49-B884-1D88CD84DFB4}">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3" id="{93BBECFB-5D01-4FBD-84B8-57C43B2E97FE}">
            <x14:iconSet iconSet="4TrafficLights" custom="1">
              <x14:cfvo type="percent">
                <xm:f>0</xm:f>
              </x14:cfvo>
              <x14:cfvo type="num">
                <xm:f>0.1</xm:f>
              </x14:cfvo>
              <x14:cfvo type="num">
                <xm:f>0.9</xm:f>
              </x14:cfvo>
              <x14:cfvo type="num">
                <xm:f>1.1000000000000001</xm:f>
              </x14:cfvo>
              <x14:cfIcon iconSet="4RedToBlack" iconId="1"/>
              <x14:cfIcon iconSet="3TrafficLights1" iconId="2"/>
              <x14:cfIcon iconSet="3TrafficLights1" iconId="1"/>
              <x14:cfIcon iconSet="3TrafficLights1" iconId="0"/>
            </x14:iconSet>
          </x14:cfRule>
          <xm:sqref>H91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Oslo Word med logo" ma:contentTypeID="0x01010016F48F0717DDBC43A26F9C4EC94D925E00271582ECD244764E8D1B5C3ADF1F00B2" ma:contentTypeVersion="6" ma:contentTypeDescription="" ma:contentTypeScope="" ma:versionID="30810f518b92ba4d6d14a69ca2a8af54">
  <xsd:schema xmlns:xsd="http://www.w3.org/2001/XMLSchema" xmlns:xs="http://www.w3.org/2001/XMLSchema" xmlns:p="http://schemas.microsoft.com/office/2006/metadata/properties" xmlns:ns2="7ed84371-acf6-4102-828c-2caf905b4736" targetNamespace="http://schemas.microsoft.com/office/2006/metadata/properties" ma:root="true" ma:fieldsID="2bbe20c40bab94b498967f95e27f878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ma:readOnly="false">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c528fd71-ad7b-48f8-811b-c0b5643803ab" ContentTypeId="0x01010016F48F0717DDBC43A26F9C4EC94D925E" PreviousValue="false" LastSyncTimeStamp="2021-04-13T11:08:19.683Z"/>
</file>

<file path=customXml/itemProps1.xml><?xml version="1.0" encoding="utf-8"?>
<ds:datastoreItem xmlns:ds="http://schemas.openxmlformats.org/officeDocument/2006/customXml" ds:itemID="{546296EF-BFCF-4B08-BCE2-EAADCD54EAD0}"/>
</file>

<file path=customXml/itemProps2.xml><?xml version="1.0" encoding="utf-8"?>
<ds:datastoreItem xmlns:ds="http://schemas.openxmlformats.org/officeDocument/2006/customXml" ds:itemID="{69396881-CF90-4A8D-ACF8-4A8E807661A0}">
  <ds:schemaRefs>
    <ds:schemaRef ds:uri="http://schemas.microsoft.com/office/infopath/2007/PartnerControls"/>
    <ds:schemaRef ds:uri="http://schemas.microsoft.com/office/2006/documentManagement/types"/>
    <ds:schemaRef ds:uri="http://www.w3.org/XML/1998/namespace"/>
    <ds:schemaRef ds:uri="http://purl.org/dc/terms/"/>
    <ds:schemaRef ds:uri="aaf9d447-8d56-4cee-bc74-238be4c12d89"/>
    <ds:schemaRef ds:uri="http://purl.org/dc/elements/1.1/"/>
    <ds:schemaRef ds:uri="342c2b7d-a93f-438f-93a3-2e4439ff95db"/>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DBC2454D-CD0F-4590-A13A-790302692E7A}">
  <ds:schemaRefs>
    <ds:schemaRef ds:uri="http://schemas.microsoft.com/sharepoint/v3/contenttype/forms"/>
  </ds:schemaRefs>
</ds:datastoreItem>
</file>

<file path=customXml/itemProps4.xml><?xml version="1.0" encoding="utf-8"?>
<ds:datastoreItem xmlns:ds="http://schemas.openxmlformats.org/officeDocument/2006/customXml" ds:itemID="{E7F645B9-3DC4-474B-B9C0-BF405196518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30</vt:i4>
      </vt:variant>
    </vt:vector>
  </HeadingPairs>
  <TitlesOfParts>
    <vt:vector size="40" baseType="lpstr">
      <vt:lpstr>Intro</vt:lpstr>
      <vt:lpstr>Resultat</vt:lpstr>
      <vt:lpstr>Sheet1</vt:lpstr>
      <vt:lpstr>Generelt om prosjektet</vt:lpstr>
      <vt:lpstr>Alternativ 1</vt:lpstr>
      <vt:lpstr>Alternativ 2</vt:lpstr>
      <vt:lpstr>Alternativ 3</vt:lpstr>
      <vt:lpstr>Alternativ 4</vt:lpstr>
      <vt:lpstr>Alternativ 5</vt:lpstr>
      <vt:lpstr>Utslippsdata</vt:lpstr>
      <vt:lpstr>alt_1</vt:lpstr>
      <vt:lpstr>alt_2</vt:lpstr>
      <vt:lpstr>alt_3</vt:lpstr>
      <vt:lpstr>alt_4</vt:lpstr>
      <vt:lpstr>alt_5</vt:lpstr>
      <vt:lpstr>b_1</vt:lpstr>
      <vt:lpstr>b_2</vt:lpstr>
      <vt:lpstr>b_3</vt:lpstr>
      <vt:lpstr>b_4</vt:lpstr>
      <vt:lpstr>b_5</vt:lpstr>
      <vt:lpstr>'Alternativ 2'!Ja</vt:lpstr>
      <vt:lpstr>'Alternativ 3'!Ja</vt:lpstr>
      <vt:lpstr>'Alternativ 4'!Ja</vt:lpstr>
      <vt:lpstr>'Alternativ 5'!Ja</vt:lpstr>
      <vt:lpstr>Ja</vt:lpstr>
      <vt:lpstr>'Alternativ 2'!Nei</vt:lpstr>
      <vt:lpstr>'Alternativ 3'!Nei</vt:lpstr>
      <vt:lpstr>'Alternativ 4'!Nei</vt:lpstr>
      <vt:lpstr>'Alternativ 5'!Nei</vt:lpstr>
      <vt:lpstr>Nei</vt:lpstr>
      <vt:lpstr>'Alternativ 1'!Print_Area</vt:lpstr>
      <vt:lpstr>'Alternativ 2'!Print_Area</vt:lpstr>
      <vt:lpstr>'Alternativ 3'!Print_Area</vt:lpstr>
      <vt:lpstr>'Alternativ 4'!Print_Area</vt:lpstr>
      <vt:lpstr>'Alternativ 5'!Print_Area</vt:lpstr>
      <vt:lpstr>'Generelt om prosjektet'!Print_Area</vt:lpstr>
      <vt:lpstr>Intro!Print_Area</vt:lpstr>
      <vt:lpstr>Resultat!Print_Area</vt:lpstr>
      <vt:lpstr>Utslippsdata!Print_Area</vt:lpstr>
      <vt:lpstr>tom</vt:lpstr>
    </vt:vector>
  </TitlesOfParts>
  <Manager/>
  <Company>Asplan Viak AS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Oddbjørn Dahlstrøm Andvik</dc:creator>
  <cp:keywords/>
  <dc:description/>
  <cp:lastModifiedBy>Oddbjørn Dahlstrøm Andvik</cp:lastModifiedBy>
  <cp:revision/>
  <dcterms:created xsi:type="dcterms:W3CDTF">2024-10-16T12:54:00Z</dcterms:created>
  <dcterms:modified xsi:type="dcterms:W3CDTF">2025-12-19T13:16:37Z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0x01010016F48F0717DDBC43A26F9C4EC94D925E00271582ECD244764E8D1B5C3ADF1F00B2</vt:lpwstr>
  </property>
  <property fmtid="{D5CDD505-2E9C-101B-9397-08002B2CF9AE}" pid="3" name="_dlc_DocIdItemGuid">
    <vt:lpwstr>61242727-9e86-43ad-a97e-216356c2af40</vt:lpwstr>
  </property>
</Properties>
</file>